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692"/>
  </bookViews>
  <sheets>
    <sheet name="芒市农业农村局新建烤烟房项目" sheetId="23" r:id="rId1"/>
    <sheet name="滇南中心城市大气污染联防联治专项资金项目-县级评分" sheetId="25" state="hidden" r:id="rId2"/>
    <sheet name="滇南中心城市大气污染联防联治专项资金项目-县级评分 (2)" sheetId="26" state="hidden" r:id="rId3"/>
    <sheet name="Sheet1" sheetId="24" r:id="rId4"/>
  </sheets>
  <definedNames>
    <definedName name="_xlnm._FilterDatabase" localSheetId="1" hidden="1">'滇南中心城市大气污染联防联治专项资金项目-县级评分'!$A$3:$O$28</definedName>
    <definedName name="_xlnm._FilterDatabase" localSheetId="2" hidden="1">'滇南中心城市大气污染联防联治专项资金项目-县级评分 (2)'!$A$3:$O$28</definedName>
    <definedName name="_xlnm._FilterDatabase" localSheetId="0" hidden="1">芒市农业农村局新建烤烟房项目!$A$3:$M$35</definedName>
    <definedName name="_xlnm.Print_Area" localSheetId="1">'滇南中心城市大气污染联防联治专项资金项目-县级评分'!$A$1:$AE$28</definedName>
    <definedName name="_xlnm.Print_Area" localSheetId="2">'滇南中心城市大气污染联防联治专项资金项目-县级评分 (2)'!$A$1:$AE$28</definedName>
    <definedName name="_xlnm.Print_Area" localSheetId="0">芒市农业农村局新建烤烟房项目!$A$1:$I$35</definedName>
    <definedName name="_xlnm.Print_Titles" localSheetId="1">'滇南中心城市大气污染联防联治专项资金项目-县级评分'!$3:$3</definedName>
    <definedName name="_xlnm.Print_Titles" localSheetId="2">'滇南中心城市大气污染联防联治专项资金项目-县级评分 (2)'!$3:$3</definedName>
    <definedName name="_xlnm.Print_Titles" localSheetId="0">芒市农业农村局新建烤烟房项目!$3:$3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<sst xmlns="http://schemas.openxmlformats.org/spreadsheetml/2006/main" count="836" uniqueCount="430">
  <si>
    <t>附件2</t>
  </si>
  <si>
    <t>芒市农业农村局2021年新建烤烟房项目专项资金支出绩效评价指标体系及评分表</t>
  </si>
  <si>
    <t>一级
指标</t>
  </si>
  <si>
    <t>二级
指标</t>
  </si>
  <si>
    <t>三级
指标</t>
  </si>
  <si>
    <t>指标分值</t>
  </si>
  <si>
    <t>指标解释</t>
  </si>
  <si>
    <t>指标说明</t>
  </si>
  <si>
    <t>评分标准</t>
  </si>
  <si>
    <t>得分</t>
  </si>
  <si>
    <t>扣分原因</t>
  </si>
  <si>
    <t>决策
（15分）</t>
  </si>
  <si>
    <t>项目立项
（5分）</t>
  </si>
  <si>
    <t>立项依据充分性</t>
  </si>
  <si>
    <t>项目实施的依据是否符合国家、省委省政府的相关规定，用以反映和考核项目申报依据的充分性。</t>
  </si>
  <si>
    <t>评价要点：
①项目的实施是否符合国家法律法规、国民经济发展规划和相关政策；
②项目的实施是否符合芒市发展规划的政策要求；
③项目的实施是否与芒市农业农村局职责范围相符，属于芒市农业农村局履职所需；
④项目是否属于公共财政支持范围。</t>
  </si>
  <si>
    <t>评价要点：
①项目的实施符合国家法律法规、国民经济发展规划和相关政策，得1分；
②项目的实施符合芒市发展规划的政策要求，得1分；
③项目的实施与芒市农业农村局职责范围相符，属于芒市农业农村局履职所需，得0.5分；
④项目属于公共财政支持范围，得0.5分。</t>
  </si>
  <si>
    <t>立项程序规范性</t>
  </si>
  <si>
    <t>项目申请、设立过程是否符合相关要求，用于反映和考核项目立项的规范情况。</t>
  </si>
  <si>
    <t>评价要点：
①项目是否按照规定的程序申请设立；
②审批文件、材料是否符合相关要求；
③事前是否已经过必要的可行性研究、专家论证、风险评估、绩效评估、集体决策。</t>
  </si>
  <si>
    <t>①项目按照规定的程序申请设立,得0.5分；
②审批文件、材料符合相关要求,得0.5分；
③事前已经过必要的可行性研究、专家论证、风险评估、绩效评估、集体决策,得1分。</t>
  </si>
  <si>
    <t>绩效目标
（5分）</t>
  </si>
  <si>
    <t>绩效目标
合理性</t>
  </si>
  <si>
    <t>项目所设定的绩效目标是否依据充分，是否符合客观实际，用以反映和考核项目绩效目标与项目实施的相符情况。</t>
  </si>
  <si>
    <t>评价要点：
①项目是否有绩效目标；
②项目绩效目标与实际工作内容是否具有相关性；
③项目预期产出效益和效果是否符合正常的业绩水平；
④是否与预算确定的项目投资额或资金量相匹配。</t>
  </si>
  <si>
    <t>①项目有绩效目标，得0.2分；
②项目绩效目标与实际工作内容具有相关性，得0.6分；
③项目预期产出效益和效果符合正常的业绩水平，得0.6分；
④目标与预算确定的项目投资额或资金量相匹配，得0.6分。</t>
  </si>
  <si>
    <t>绩效指标
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</si>
  <si>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</si>
  <si>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t>
  </si>
  <si>
    <t>①已将项目绩效目标细化分解为具体的绩效指标，得1分；
②指标已通过清晰、可衡量的指标值予以体现，得1分；
③指标与项目目标任务数或计划数相对应，得1分。</t>
  </si>
  <si>
    <t>项目年初申报预算设置了绩效目标及指标，但项目产出指标设置未结合项目实施方案要求进行细化，预算申报项目指标不够完善。</t>
  </si>
  <si>
    <t>资金投入
（5分）</t>
  </si>
  <si>
    <t>预算编制
科学性</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</si>
  <si>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</si>
  <si>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③预算额度测算依据是否充分，是否按照标准编制；
④预算确定的项目投资额或资金量是否与工作任务相匹配。</t>
  </si>
  <si>
    <t>①预算编制经过科学论证，得0.5分；
②预算内容与项目内容匹配，得0.5分；
③预算额度测算依据充分，按照标准编制，得1分；
④预算确定的项目投资额或资金量与工作任务相匹配，得1分。</t>
  </si>
  <si>
    <t>资金到位率</t>
  </si>
  <si>
    <t>实际到位资金与预算资金的比率，用以反映和考核资金落实情况对项目实施的总体保障程度。</t>
  </si>
  <si>
    <t>资金到位率=（实际到位资金/预算资金）×100%。
实际到位资金：一定时期（本年度或项目期）内落实到具体项目的资金。
预算资金：一定时期（本年度或项目期）内预算安排到具体项目的资金。</t>
  </si>
  <si>
    <t xml:space="preserve">
①资金到位率≥100%时，得2分；
②资金到位率&lt;100%时，不得分。
</t>
  </si>
  <si>
    <t>过程
（20分）</t>
  </si>
  <si>
    <t>资金管理
（8分）</t>
  </si>
  <si>
    <t>资金到位及时率</t>
  </si>
  <si>
    <t>及时到位资金与应到位资金的比率，用以反映和考核项目资金落实的及时性程度。</t>
  </si>
  <si>
    <t>资金到位及时率=（及时到位资金/应到位资金)×100%。
及时到位资金：截至规定时点，实际落实到各层级的资金。
应到位资金：按照项目相关文件要求，截至规定时点，应落实到具体层级的资金。</t>
  </si>
  <si>
    <t>得分=资金到位及时率×1分。</t>
  </si>
  <si>
    <t>预算执行率</t>
  </si>
  <si>
    <t>项目预算资金是否按照计划执行，用以反映和考核项目预算执行情况。</t>
  </si>
  <si>
    <t>评价要点：
预算执行率=（实际支出资金/实际到位资金）×100%。
实际支出资金：一定时期（本年度或项目期）内项目实际拨付的资金。</t>
  </si>
  <si>
    <t>得分=预算执行率×2分。</t>
  </si>
  <si>
    <t>项目到位资金301.9万元已全部支出，预算执行率达100%</t>
  </si>
  <si>
    <t>资金使用合规性</t>
  </si>
  <si>
    <t>项目资金使用是否符合相关的财务管理制度规定，用以反映和考核项目资金的规范运行情况。</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</si>
  <si>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t>
  </si>
  <si>
    <t>①资金使用符合国家财经法规和财务管理制度规定以及有关专项资金管理办法的规定，得1分；
②资金的拨付有完整的审批程序和手续，得1分；
③符合项目预算批复或合同规定用途，得1分。
存在截留、挤占、挪用、虚列支出等情况，该项均不得分。</t>
  </si>
  <si>
    <t>资金支付主体与合同签订主体不一致情况，合同签订方为各乡镇人在麻烦，资金支付未芒市农业农村局。</t>
  </si>
  <si>
    <t>会计核算规范性</t>
  </si>
  <si>
    <t>项目实施单位的项目资金会计核算是否符合《中华人民共和国会计法》和相关会计准则、会计制度，用以反映和考核项目资金会计核算的规范情况。</t>
  </si>
  <si>
    <t>评价要点：
①是否符合国家财经法规和财务管理制度以及内部会计控制规范、相关会计准则的规定；
②项目资金是否建立专账管理；
③是否有完整审批程序和手续；
④记账、报账是否符合会计基础工作规范；
是否存在虚列支出等情况。</t>
  </si>
  <si>
    <t>①会计核算符合国家财经法规和财务管理制度以及内部会计控制规范、相关会计准则的规定，得0.5分；
②项目资金建立了专账管理，得0.5分；
③有完整的审批程序和手续；得0.5分；
④记账、报账符合会计基础工作规范，得0.5分；
若发现存在虚列支出等情况，该项指标得0分。</t>
  </si>
  <si>
    <t>组织实施（10分）</t>
  </si>
  <si>
    <t>管理机制健全性</t>
  </si>
  <si>
    <t>项目主管部门的业务管理机制是否健全，用以反映和考核业务管理制度对项目顺利实施的保障情况。</t>
  </si>
  <si>
    <t>评价要点：
①管理机构是否制定完善的管理机制；
②规范了项目管理制度、专项资金管理机制、跟踪管理机制。</t>
  </si>
  <si>
    <t>①项目管理制度健全，得1分；
②有明确的专项资金管理制度，得1分；
③跟踪管理机制健全，得1分。     
上述评价内容每符合一项得到该项对应分值。</t>
  </si>
  <si>
    <t>未建立健全项目管理制度、阶段性验收管理制度及绩效跟踪监测制度。</t>
  </si>
  <si>
    <t>组织机构保障性</t>
  </si>
  <si>
    <t>用以反映和考核部门和项目实施单位从项目申报审核、过程监管、资金管理、绩效管理上对项目顺利实施的保障情况。</t>
  </si>
  <si>
    <t>评价要点：
①是否已设立或明确项目申报审核的责任科室和人员，相关人员是否充分了解项目内容；                                      
②是否已设立或明确过程监管和资金管理的科室和人员，相关人员是否充分了解项目内容；
③是否已设立或明确绩效管理的责任科室和人员，相关人员是否充分了解绩效管理工作政策和内容。</t>
  </si>
  <si>
    <t>①已设立或明确项目申报审核的责任科室和人员，相关人员充分了解项目内容，得0.5分；                                      
②已设立或明确过程监管和资金管理的科室和人员，相关人员充分了解项目内容，得0.5分；
③已设立或明确绩效管理的责任科室和人员，相关人员充分了解绩效管理工作政策和内容，得1。</t>
  </si>
  <si>
    <t>芒市农业农村局成立芒市烤烟房建设项目实施工作领导小组，并在芒市农业农村局设立领导小组办公室开展相关工作，由各乡镇人民政府实施招投标，招投标程序委托第三方机构实施项目，并按照法律法规的相关要求，实行项目法人制、工程监理制、合同管理制等措施保障项目实施。</t>
  </si>
  <si>
    <t>档案管理规范性</t>
  </si>
  <si>
    <t>项目实施单位是否指定专人对项目相关资料进行收集、分类、整理、归档，专门管理，用以反映和考核项目实施单位对项目档案的管理情况。</t>
  </si>
  <si>
    <t>评价要点：
①是否指定专人负责项目档案管理；
②项目档案资料是否完整、齐全、规范。</t>
  </si>
  <si>
    <t>①指定专人负责项目档案管理，得1分；
②项目档案资料完整、齐全、规范，得1分。</t>
  </si>
  <si>
    <t>①存在外电工程建设合同、工程造价结算表、工程款支付报审表均为签日期；
②主体工程及基础工程施工工程资料缺失，如施工日志、工程签证单等；
③监理资料缺失，如监理签的开工令、监理细则、监理日志等相关资料。</t>
  </si>
  <si>
    <t>项目管理规范性</t>
  </si>
  <si>
    <t>项目管理实施是否符合相关管理规定，用以反映和考核相关管理制度的有效执行情况。</t>
  </si>
  <si>
    <t>评价要点：
①项目招标程序执行是否合规；
②项目变更及支出调整手续是否完备；
③项目合同书、验收报告、技术鉴定等资料是否齐全并及时归档；
④债券资金支出或项目竣工后对应资产备案和产权登记情况；
⑤外部监督发现问题整改情况。</t>
  </si>
  <si>
    <t>①项目招标程序执行是否合规，得0.5分；
②项目变更及支出调整手续是否完备，得0.5分；
③项目合同书、验收报告、技术鉴定等资料是否齐全并及时归档，得1分。</t>
  </si>
  <si>
    <t>外电架设工程建设招标程序执行不够严谨，存在招标程序倒置的情况；
烤烟房主体工程项目建设内容存在工程量变更，未报相关部门审批。</t>
  </si>
  <si>
    <t>绩效自评</t>
  </si>
  <si>
    <t>部门（单位）是否按照《芒市人民政府办公室关于印发财政支出绩效评价管理暂行办法的通知》（芒政办发〔2012〕235号）《芒市财政局关于开展2021年度部门整体支出和项目支出绩效自评工作的通知》（芒财〔2022〕52号）开展自评工作。</t>
  </si>
  <si>
    <t>评价要点：
①部门建立了绩效自评组织机构，并按自评工作程序开展自评工作；
②是否按芒财〔2022〕52号文要求在项目支出绩效评价共性指标体系框架基础上，结合年初预算批复的项目支出及项目特点补充设计个性指标，确定项目的绩效自评指标体系。
③自评报告格式及内容是否符合芒财〔2022〕52号文要求，报送的资料是否包含部门自评材料的正式函件、项目支出绩效自评报告、附件相关资料。</t>
  </si>
  <si>
    <t>①部门建立了绩效自评组织机构，并按自评工作程序开展自评工作，得1分；
②在项目支出绩效评价共性指标体系框架基础上，结合年初预算批复的项目支出及项目特点补充设计个性指标，得1分；
③自评报告格式及内容符合芒财〔2022〕52号文要求，报送的资料包含部门自评材料的正式函件、项目支出绩效自评报告、附件相关资料，得1分。</t>
  </si>
  <si>
    <t>仅撰写绩效自评报告，但自评报告未按要求开展绩效自评，无自评得分，未设置绩效自评指标体系，无相关佐证材料。绩效自评报告无自评得分，未设置自评指标体系。</t>
  </si>
  <si>
    <t>产出   （35分）</t>
  </si>
  <si>
    <t>产出数量
（16分）</t>
  </si>
  <si>
    <t>烤烟房主体工程完成情况</t>
  </si>
  <si>
    <t>用以反映农业农村局2021年新建烤烟房主体工程实施完成情况。</t>
  </si>
  <si>
    <t>评价要点：
2021年建设完成68座烤烟房主体工程，68套供热设备安装调试完成，
其中建设90型果蔬烘干机55座：遮放镇10座，江东乡15座，西山乡30座；
建设45型果蔬烘干机13座：江东乡13座。</t>
  </si>
  <si>
    <t>2021年完成68座烤烟房主体工程建设、完成68套供热设备安装调试
其中建设90型果蔬烘干机55座：遮放镇10座，江东乡15座，西山乡30座；建设45型果蔬烘干机13座：江东乡13座，得8分。
每未完成一下单项工程，扣1分，扣完为止。</t>
  </si>
  <si>
    <t>烤烟房基础工程完成情况</t>
  </si>
  <si>
    <t>用以反映农业农村局2021年新建烤烟房基础工程实施完成情况。</t>
  </si>
  <si>
    <t>评价要点：
2021年建设完成江东乡、西山乡、遮放镇5个项目点68座烤烟房的基础工程。
主要包括：建设68座烤烟房的场地推平硬化工程、配电房建设、发电机调试安装工程。</t>
  </si>
  <si>
    <t>2021年建设完成江东乡、西山乡、遮放镇5个项目点68座烤烟房的基础工程。
主要包括：建设完成68座烤烟房的场地推平硬化工程、配电房建设、发电机调试安装工程，得4分。
每未完成一下单项工程，扣1分，扣完为止。</t>
  </si>
  <si>
    <t>烤房外电架设工程完成率</t>
  </si>
  <si>
    <t>用以反映农业农村局2021年新建烤烟房外电架设工程实施完成情况。</t>
  </si>
  <si>
    <t>评价要点：
2021年建设完成江东乡、西山乡、遮放镇5个项目点68座烤烟房的外电架设工程。</t>
  </si>
  <si>
    <t>2021年建设完成江东乡、西山乡、遮放镇5个项目点68座烤烟房的外电架设工程，得4分。
每未完成一下单项工程，扣1分，扣完为止。</t>
  </si>
  <si>
    <t>产出质量
（9分）</t>
  </si>
  <si>
    <t>质量达标率</t>
  </si>
  <si>
    <t>项目完成的质量达标产出数与实际产出数的比率，用以反映和考核项目产出质量目标的实现程度。</t>
  </si>
  <si>
    <t>质量达标率=（质量达标产出数/实际产出数）×100%。 
质量达标产出数：一定时期（本年度或项目期）内实际达到既定质量标准的产品或服务数量。
既定质量标准是指项目实施单位设立绩效目标时依据计划标准、行业标准、历史标准或其他标准而设定的绩效指标值。</t>
  </si>
  <si>
    <r>
      <rPr>
        <sz val="10"/>
        <rFont val="仿宋"/>
        <charset val="134"/>
      </rPr>
      <t>①5个项目点建设项目质量达标率（验收率）均达100%，得5分，1个项目点未达到扣1分，扣完为止；
②100%≥5</t>
    </r>
    <r>
      <rPr>
        <sz val="10"/>
        <rFont val="仿宋"/>
        <charset val="134"/>
      </rPr>
      <t>个项目点实际质量达标率（验收率）均≥95%，得</t>
    </r>
    <r>
      <rPr>
        <sz val="10"/>
        <rFont val="仿宋"/>
        <charset val="134"/>
      </rPr>
      <t>3</t>
    </r>
    <r>
      <rPr>
        <sz val="10"/>
        <rFont val="仿宋"/>
        <charset val="134"/>
      </rPr>
      <t>分，1个项目点未达到扣1分，扣完为止；
③</t>
    </r>
    <r>
      <rPr>
        <sz val="10"/>
        <rFont val="仿宋"/>
        <charset val="134"/>
      </rPr>
      <t>5</t>
    </r>
    <r>
      <rPr>
        <sz val="10"/>
        <rFont val="仿宋"/>
        <charset val="134"/>
      </rPr>
      <t>个项目点实际质量达标率（验收率）均&lt;95%，不得分；                                                     
④根据受益对象调查问卷第1题，得分=上述题目加权平均得分/10*标准分1分。</t>
    </r>
  </si>
  <si>
    <t>项目均已完成验收，项目验收合格率为100%。</t>
  </si>
  <si>
    <t>预期功能实现情况</t>
  </si>
  <si>
    <t>考核新建烤烟房基础设施建设完成后各项资产的运转使用情况，是否存在资产闲置未使用。</t>
  </si>
  <si>
    <t>评价要点：
①各单体建设竣工项目是否达到预期功能；
②建成项目是否正常运转。</t>
  </si>
  <si>
    <t>①各单体建设竣工项目是否达到预期功能，得2分；
②建成项目是否正常运转，得2分。</t>
  </si>
  <si>
    <t>实地评价及抽查现场，存在已建立的西山乡新建的30座烤烟房即将拆除，未能达到项目可持续序号使用的效果。</t>
  </si>
  <si>
    <t>产出成本
（4分）</t>
  </si>
  <si>
    <t>项目建设成本管控</t>
  </si>
  <si>
    <t>反映芒市农业农村局新建烤烟房相关项目的实施是否严格控制项目成本的情况。</t>
  </si>
  <si>
    <t>评价要点：
项目工程决算是否超项目概算、合同总价；若项目尚未完成工程竣工结算审计，暂按照各方提供的初步数据进行评价。</t>
  </si>
  <si>
    <t>项目工程决算未超项目概算、合同总价，得3分，存在1个项目出现上述情况，扣1分，扣完为止。
若项目尚未完成工程竣工结算审计，暂按照各方提供的初步数据进行评价。</t>
  </si>
  <si>
    <t>①西山乡烤烟房建设主体工程项目合同金额118.35万元，结算金额120.908万元；
②江东乡大水沟烤烟房建设主体工程项目合同金额59.1万元，结算金额63.527万元；
③江东乡花拉厂、仙人洞烤烟房建设主体工程项目合同金额35.75万元，结算金额40.6881万元；
④外电架设工程项目合同金额54.6万元，项目概算（批复）金额48.9015万元；</t>
  </si>
  <si>
    <t>产出时效
（6分）</t>
  </si>
  <si>
    <t>项目完成及时率</t>
  </si>
  <si>
    <t>反映出各乡镇新建烤烟房项目是否按时完成项目建设，用以反映和考核项目完工的及时情况。</t>
  </si>
  <si>
    <t>评价要点：
项目完工及时率=完工及时的项目数/项目数×100%</t>
  </si>
  <si>
    <t>得分=项目完工及时率×3分</t>
  </si>
  <si>
    <t>工程款项支付
及时率</t>
  </si>
  <si>
    <t>反映出各乡镇新建烤烟房项目工程款项是否及时支付，用以反映和考核项目款项支付的及时情况。</t>
  </si>
  <si>
    <t>评价要点：
款项支付及时率=及时支付款项金额/应付款项金额×100%
根据项目工程款项支付情况进行计算。</t>
  </si>
  <si>
    <t>得分=款项支付及时率×3分。</t>
  </si>
  <si>
    <t>效益
（30分）</t>
  </si>
  <si>
    <t>经济效益
（4分）</t>
  </si>
  <si>
    <t>带动烟草产业发展</t>
  </si>
  <si>
    <t>反映出芒市新建烤烟房项目的实施有效促进芒市烟草产业发展的效果。</t>
  </si>
  <si>
    <t>评价要点：
①烤烟产值是否较以前年度有所增长；
②烤烟税收是否较以前年度有所增长；
②通过问卷调查的方式，了解工作人员、社会公众对项目实施促进芒市烟草产业发展效果的满意程度。</t>
  </si>
  <si>
    <t>①烤烟产值较以前年度有所增长，得1分；
②烤烟税收较以前年度有所增长，得1分；
②得分=（A类问卷调查对应问题得分×30%+B类问卷调查对应问题得分率×70%）×2分</t>
  </si>
  <si>
    <t>江东乡、西山乡、遮放镇烤烟产值、烤烟税收较以前年度有所增长；
根据问卷调查数据统计，工作人员对应问题得分率为80%；社会公众对应问题综合得分率为73%。</t>
  </si>
  <si>
    <t>社会效益
（11分）</t>
  </si>
  <si>
    <t>中上等烟比例增长情况</t>
  </si>
  <si>
    <t>评价项目的实施，对项目区烤烟质量达中上等烟比例的增长情况。</t>
  </si>
  <si>
    <r>
      <rPr>
        <sz val="10"/>
        <rFont val="仿宋"/>
        <charset val="134"/>
      </rPr>
      <t>评价要点：
①芒市2021</t>
    </r>
    <r>
      <rPr>
        <sz val="10"/>
        <rFont val="仿宋"/>
        <charset val="134"/>
      </rPr>
      <t>年中上等烟比例≥</t>
    </r>
    <r>
      <rPr>
        <sz val="10"/>
        <rFont val="仿宋"/>
        <charset val="134"/>
      </rPr>
      <t>65%</t>
    </r>
    <r>
      <rPr>
        <sz val="10"/>
        <rFont val="仿宋"/>
        <charset val="134"/>
      </rPr>
      <t>；
②通过问卷调查的方式，了解工作人员、社会公众对项目实施提高烤烟质量的满意程度。</t>
    </r>
  </si>
  <si>
    <t>①芒市2021年中上等烟比例≥65%，得2分；
②得分=（A类问卷调查对应问题得分×30%+B类问卷调查对应问题得分率×70%）×2分</t>
  </si>
  <si>
    <t>芒市2021年中上等烟比例达65%以上；
根据问卷调查数据统计，工作人员对应问题得分率为70%；社会公众对应问题综合得分率为76%。</t>
  </si>
  <si>
    <t>生产条件改善情况</t>
  </si>
  <si>
    <t>用以反映项目实施后对项目区群众烤烟生产条件的改善情况。</t>
  </si>
  <si>
    <t>评价要点：                                     
主要通过问卷设置相关问题，对受益群众进行访谈，结合相关统计数据等资料反映项目实施后对项目区群众烤烟生产条件的改善情况。</t>
  </si>
  <si>
    <t>得分=（A类问卷调查对应问题得分×30%+B类问卷调查对应问题得分率×70%）×4分</t>
  </si>
  <si>
    <t>根据问卷调查数据统计，工作人员对应问题得分率为76%；社会公众对应问题综合得分率为69.5%。</t>
  </si>
  <si>
    <t>改善乡村人居环境</t>
  </si>
  <si>
    <t>反映出新建烤烟房项目的实施对改善生物质烤房项目区乡村人居环境的效果。</t>
  </si>
  <si>
    <t>评价要点：
通过问卷调查的方式，了解工作人员、社会公众对项目实施改善乡村人居环境效果的满意程度。</t>
  </si>
  <si>
    <t>得分=（工作人员对应问题得分率×30%+移民群众对应问题得分率×70%）×3分。</t>
  </si>
  <si>
    <t>根据问卷调查数据统计，工作人员对应问题得分率为64%；社会公众对应问题综合得分率为62%。</t>
  </si>
  <si>
    <t>可持续影响（5分）</t>
  </si>
  <si>
    <t>项目后续管理情况</t>
  </si>
  <si>
    <t>用以反映项目实施后项目后续运行和维护情况。</t>
  </si>
  <si>
    <t>评价要点：
项目完工后安排后续人员进行日常检查维护且已办理移交手续。</t>
  </si>
  <si>
    <t>项目完工后安排后续人员定期进行检查维护且已办理移交手续得2分；安排续人员进行检查维护未办理移交手续得1分；未安排相关人员进行日常检查维护得0分。</t>
  </si>
  <si>
    <t>经实地抽查现场，江东乡烤烟房有村民堆放东西；西山乡烤烟房后续日常管护不到位。</t>
  </si>
  <si>
    <t>技术培训情况</t>
  </si>
  <si>
    <t>反映新建烤烟房项目实施后，推广新型烘烤烤烟技术的效果情况</t>
  </si>
  <si>
    <t>评价要点：
通过问卷设置相关问题，对项目区群众进行问卷调查，反映相关单位是否对项目区新型烤烟的技术培训。</t>
  </si>
  <si>
    <t>③得分=B类问卷调查对应问题得分率×2分</t>
  </si>
  <si>
    <t>根据问卷调查数据统计，社会公众对应问题综合得分率为75%。</t>
  </si>
  <si>
    <t>满意度指标
（10分）</t>
  </si>
  <si>
    <t>工作人员满意度</t>
  </si>
  <si>
    <t>通过问卷调查的方式，了解工作人员对2021年新建烤烟房专项资金项目实施的满意程度。</t>
  </si>
  <si>
    <t>评价要点：
通过问卷调查的方式，了解工作人员对2021年新建烤烟房专项资金项目实施的满意程度。</t>
  </si>
  <si>
    <t>满意度得分=工作人员满意度×3分。</t>
  </si>
  <si>
    <t>根据问卷调查数据统计，工作人员满意度为78%。</t>
  </si>
  <si>
    <t>社会公众满意度</t>
  </si>
  <si>
    <t>通过问卷调查的方式，了解社会公众对2021年新建烤烟房专项资金项目实施的满意程度。</t>
  </si>
  <si>
    <t>评价要点：
通过问卷调查的方式，了解社会公众对2021年新建烤烟房专项资金项目实施的满意程度。</t>
  </si>
  <si>
    <t>满意度得分=社会公众满意度×7分。</t>
  </si>
  <si>
    <t>根据问卷调查数据统计，社会公众满意度为74%。</t>
  </si>
  <si>
    <t>总计</t>
  </si>
  <si>
    <t>附件3</t>
  </si>
  <si>
    <t>红河哈尼族彝族自治州生态环境局2021年滇南中心城市大气污染联防联治专项资金项目支出绩效评价指标体系及评分表-县级评分汇总</t>
  </si>
  <si>
    <t>州监察支队</t>
  </si>
  <si>
    <t>蒙自</t>
  </si>
  <si>
    <t>个旧</t>
  </si>
  <si>
    <t>石屏</t>
  </si>
  <si>
    <t>建水</t>
  </si>
  <si>
    <t>红河</t>
  </si>
  <si>
    <t>绿春</t>
  </si>
  <si>
    <t>元阳</t>
  </si>
  <si>
    <t>开远</t>
  </si>
  <si>
    <t>屏边</t>
  </si>
  <si>
    <t>弥勒</t>
  </si>
  <si>
    <t>得（扣）分原因</t>
  </si>
  <si>
    <t>过程
（19分）</t>
  </si>
  <si>
    <t>资金管理
（10分）</t>
  </si>
  <si>
    <t>年度共计到位项目资金115.81万元，其中年初结转结余资金35.81万元，本年财政拨款80.00万元，实际使用项目资金88.36万元，结转结余资金27.45万元，资金使用率为76.29%。</t>
  </si>
  <si>
    <t>共计到位项目资金20.40万元，其中年初结转结余资金3.40万元，本年到位资金17.00万元，截止12月31日，使用资金19.28万元，资金使用率为94.50%，结余资金年底财政收回。</t>
  </si>
  <si>
    <t>2021年度，红河州生态环境局个旧分局共计到位项目资金312,840.60元，其中：年初结转结余资金152,840.60元，本年预算下达项目资金160,000.00元，截止2021年12月31日，共计使用项目资金206,401.90元，结转结余资金106,438.70元，年度项目资金使用率为65.98%。</t>
  </si>
  <si>
    <t>本年到位资金100.00万元，截止12月31日，使用资金100.00万元，资金使用率为100%.</t>
  </si>
  <si>
    <t>实际到位资金110000.00元，实际支出资金102187.00元，预收执行率92.90%。</t>
  </si>
  <si>
    <t>实际支出资金12.7万元，实际到位资金14.25万元，实际到位率为89.12%。</t>
  </si>
  <si>
    <t>本年到位资金16.26万元，截止12月31日，使用资金11.19万元，预算执行率为68.82%.
得分=68.82%*2=1.38</t>
  </si>
  <si>
    <t>共计到位项目资金27.00万元，其中本年到位资金17.00万元，上年度结转结余资金10.00万元，截止12月31日，使用资金22.10万元，资金使用率为81.85%.</t>
  </si>
  <si>
    <t>共计到位项目资金10.00万元，其中本年到位资金10.00万元，截止12月31日，使用资金9.10万元，资金使用率为91.00%，结余资金年底财政收回。</t>
  </si>
  <si>
    <t>共计到位项目资金12.90万元，其中本年到位资金10.00万元，上年度结转结余资金2.90万元，截止12月31日，使用资金12.90万元，资金使用率为100%.</t>
  </si>
  <si>
    <t>州监察支队存在出差审批滞后的情况；部分单位资金列支不合理，具体为：个旧、石屏、建水、红河、绿春、元阳、开远、开远、屏边弥勒。</t>
  </si>
  <si>
    <t>经查阅凭证，存在出差申请滞后的情况，且存在部分项目资金用于异龙湖治理，资金使用不合规。</t>
  </si>
  <si>
    <t>以前年度结转结余资金使用不够合理，经抽查部分凭证，将土壤污染、固体废物的相关书籍装订费列支在项目资金中。</t>
  </si>
  <si>
    <t>存在专项资金列示不合理的情况。</t>
  </si>
  <si>
    <t>存在专项资金使用不合理的情况。</t>
  </si>
  <si>
    <t>存在专项资金列支不合理的情况。</t>
  </si>
  <si>
    <t>存在专项资金列示不合理的情况，存在接待费报销附件不完整的情况。</t>
  </si>
  <si>
    <t>基本支出挤占项目支出</t>
  </si>
  <si>
    <t>项目实施单位的项目资金会计核算是否符合《会计法》和相关会计准则、会计制度，用以反映和考核项目资金会计核算的规范情况。</t>
  </si>
  <si>
    <t>实地评价抽查凭证，发现石屏、建水、个旧、红河、绿春存在发票购货方列示的单位名称不是全称的情况；红河县会计凭证未装订；开远存在附件依据不充分的情况，弥勒存在会计核算不规范的情况。</t>
  </si>
  <si>
    <t>抽查的相关凭证购货方所列名称不是单位全称。</t>
  </si>
  <si>
    <t>部分报销发票购货方名称填写不规范。</t>
  </si>
  <si>
    <t>①截止2022年7月25日，2021年的部分会计凭证尚未装订，不符合会计基础规范。
②抽查的相关凭证发票购货方所列名称不是单位全称。</t>
  </si>
  <si>
    <t>附件不全，部分依据不充分</t>
  </si>
  <si>
    <t>2021年8月记账12号凭证，报销培训费，实际为报销因培训产生的差旅费。</t>
  </si>
  <si>
    <t>组织实施（9分）</t>
  </si>
  <si>
    <t>①指定专人负责项目档案管理，得0.5分；
②项目档案资料完整、齐全、规范，得0.5分。</t>
  </si>
  <si>
    <t>项目是否按照《红河州财政局关于印发《红河州州级预算绩效管理工作规程（试行）》的通知》（红财预〔2015〕97号）开展自评工作。</t>
  </si>
  <si>
    <t>评价要点：
①部门建立了绩效自评组织机构，并按自评工作程序开展自评工作；
②是否按红财预〔2015〕97号文要求在项目支出绩效评价共性指标体系框架基础上，结合年初预算批复的项目支出及项目特点补充设计个性指标，确定项目的绩效自评指标体系。
③自评报告格式及内容是否符合红财预〔2015〕97号文要求，报送的资料是否包含部门自评材料的正式函件、项目支出绩效自评报告、附件相关资料。</t>
  </si>
  <si>
    <t>①部门建立了绩效自评组织机构，并按自评工作程序开展自评工作，得1分；
②在项目支出绩效评价共性指标体系框架基础上，结合年初预算批复的项目支出及项目特点补充设计个性指标，得1分；
③自评报告格式及内容符合红财预〔2015〕97号文要求，报送的资料包含部门自评材料的正式函件、项目支出绩效自评报告、附件相关资料，得1分。</t>
  </si>
  <si>
    <t>经查阅抽样单位自评情况，蒙自市截止评价日尚未完成继续自评，州监察支队、个旧市、石屏县、建水县、红河县、元阳县、屏边县自评缺乏相关评分依据（满意度），屏边县、开远市未设置个性指标进行评价；弥勒市自评表填列不完整，评分不明确等情况。</t>
  </si>
  <si>
    <t>部门已对项目开展绩效自评工作，但未设置项目绩效自评指标体系及评分表，满意度未见相关依据。</t>
  </si>
  <si>
    <t>红河州生态环境局蒙自分局未对项目开展绩效自评工作。</t>
  </si>
  <si>
    <t>红河州生态环境局个旧分局虽然已对项目开展绩效评价，但相关评分缺乏评价依据，如：满意度指标等。</t>
  </si>
  <si>
    <t>红河州生态环境局石屏分局虽然已对项目开展绩效评价，但相关评分缺乏评价依据，如：满意度指标等。</t>
  </si>
  <si>
    <t>红河州生态环境局建水分局虽然已对项目开展绩效评价，但相关评分缺乏评价依据，如：满意度指标等。</t>
  </si>
  <si>
    <t>红河州生态环境局红河分局虽然已对项目开展绩效评价，但相关评分缺乏评价依据，如：满意度指标。</t>
  </si>
  <si>
    <t>红河州生态环境局绿春分局虽然已对项目开展绩效评价，但相关评分缺乏评价依据，如：满意度指标、绩效目标实际完成情况与年度指标值不对应。</t>
  </si>
  <si>
    <t>①红河州生态环境局元阳分局虽然已对项目开展绩效评价，但相关评分缺乏评价依据，如：满意度指标等。
②绩效指标设置不合理，如“产出-质量指标-二氧化硫、氮氧化物排放总量比2015年减少”，2021年完成的指标值与2015年数据相比较不合理。
③项目支出绩效自评分数错误，依据扣分项实际得分99分。</t>
  </si>
  <si>
    <t>未设置个性化指标进行评价，满意度评分无依据。</t>
  </si>
  <si>
    <t>个性指标仅年初预算申报的绩效指标，未补充设置重要的个性指标进行评价。</t>
  </si>
  <si>
    <t>绩效单位自评表填写不完整，指标值打分不明确</t>
  </si>
  <si>
    <t>产出数量
（9分）</t>
  </si>
  <si>
    <t>重点排污单位抽查完成率</t>
  </si>
  <si>
    <t>反映红河州生态环境局相关部门是否落实中央、省、州（市）对重点排污单位抽查的相关制度，完成相关比率抽查任务的情况。</t>
  </si>
  <si>
    <t>评价要点：
①县（市）级环保部门本行政区每季度重点排污单位抽查比率是否达30%；
②年度重点排污单位抽查率是否达100%。
年度重点排污单位抽查完成率=重点排污单位抽查数/重点排污单位数×100%</t>
  </si>
  <si>
    <t>①县（市）级环保部门季度抽查比率达30%，得1.5分，反之不得分；
②得分=年度重点排污单位抽查完成率×2分。</t>
  </si>
  <si>
    <t>州监察支队、个旧市、石屏县、建水县、元阳县、弥勒市个别季度抽查比率未达相关要求。</t>
  </si>
  <si>
    <t>州监察支队1-4季度均未能达到15%的比率，一季度为5.26%，二季度为13.82%，三季度为13.82%，四季度为10.53%。</t>
  </si>
  <si>
    <t>第1季度未达相关要求。</t>
  </si>
  <si>
    <t>存在第一季度、第二季度抽查完成率未达30%</t>
  </si>
  <si>
    <t>第2季度未达相关要求。</t>
  </si>
  <si>
    <t>重点排污企业共1家，1-4季度抽查数为3，抽查比率为100%，已达标。</t>
  </si>
  <si>
    <t>四个季度均达标。</t>
  </si>
  <si>
    <t>存在第一、二、三季度抽查完成率未达30%</t>
  </si>
  <si>
    <t>二季度抽查比率未达30%</t>
  </si>
  <si>
    <t>一般排污单位抽查完成率</t>
  </si>
  <si>
    <t>反映红河州生态环境局相关部门是否落实中央、省、州（市）对一般排污单位开展抽查的相关制度，完成相关比率抽查任务的情况。</t>
  </si>
  <si>
    <t>评价要点：
县市级部门一般排污单位抽查比率是否达1:10。
抽查比率：在编在岗的环境监察人员数量与被抽查单位数量的比率</t>
  </si>
  <si>
    <t>县市级部门一般排污单位抽查比率达1:10，得2分，反之不得分。</t>
  </si>
  <si>
    <t>州监察支队、个旧市、石屏县、绿春县年度抽查比率未达相关要求。</t>
  </si>
  <si>
    <t>根据情况统计表，2021年度一般排污单位为350家，实际年度抽查59家，监察支队人员为17人，未达1:5的比率。</t>
  </si>
  <si>
    <t>一般排污单位1季度52家，2季度43家，3季度69家，4季度43家，年度共计抽查20家，未达相关要求。</t>
  </si>
  <si>
    <t>根据相关报表，1-2季度为26家，3-4季度为55家，年度共计抽查26家，未达相关要求。</t>
  </si>
  <si>
    <t>根据相关报表，1季度为2家，2季度为3家，3季度1家，4季度12家，年度共计抽查18家，全年实现所有企业全覆盖，抽查比率达标。</t>
  </si>
  <si>
    <t>根据相关报表，1季度为0家，2季度为8家，3-4季度4家，年度共计抽查36家，未达相关要求。</t>
  </si>
  <si>
    <t>全覆盖抽查</t>
  </si>
  <si>
    <t>特殊监管对象抽查完成率</t>
  </si>
  <si>
    <t>反映红河州生态环境局相关部门是否落实中央、省、州（市）对特殊监管对象开展抽查的相关制度，完成相关比率抽查任务的情况。</t>
  </si>
  <si>
    <t>评价要点：
县市级部门每季度特殊监管对象抽查比率是否不少于50%。
抽查比率=每季度抽查特殊监管对象数与特殊监管对象数×100%</t>
  </si>
  <si>
    <t>县市级部门每季度特殊监管对象抽查比率不少于50%，得2分。</t>
  </si>
  <si>
    <t>州监察支队、蒙自市、个旧市、石屏县、建水县抽查比率未达相关要求。</t>
  </si>
  <si>
    <t>州监察支队1、3-4季度均未能达到30%的比率，一季度为25.81%，三季度为29.03%，四季度为4.84%。</t>
  </si>
  <si>
    <t>2021年第一季度抽查比率为40%，未达相关要求。</t>
  </si>
  <si>
    <t>个旧市环境监察大队2021年度特殊监管对象为19家，年度共计抽查33家，其中一季度5家、二季度10家、三季度9家、四季度9家，抽查比例分别为：26.32%、52.63%、47.37%、47.37%，除2季度达到抽查比率要求外，其余季度均未达抽查比率要求的50%。</t>
  </si>
  <si>
    <t>根据相关报表，1-2季度抽查比率为33.33%，3季度为41.67%，未达相关要求。</t>
  </si>
  <si>
    <t>第1季度抽查比率为11.11%，未达相关要求。</t>
  </si>
  <si>
    <t>特殊监管对象共1家，1季度未有特殊监管对象，2-4季度抽查数为3，达标。</t>
  </si>
  <si>
    <t>无特殊监管对象。</t>
  </si>
  <si>
    <t>根据相关报表，2021年一、二季度未有特殊监管对象（第三季度开始结合省级联合执法检查及实际情况将元阳县闽鑫源矿业发展定位特殊监管对象）</t>
  </si>
  <si>
    <t>无特殊监管</t>
  </si>
  <si>
    <t>产出质量
（11分）</t>
  </si>
  <si>
    <t>粉料企业扬尘治理管控</t>
  </si>
  <si>
    <t>反映红河州生态环境局相关部门开展建筑扬尘治理管控工作的开展情况。</t>
  </si>
  <si>
    <t>评价要点：
①粉料企业治理覆盖率=扬尘治理覆盖区域数/区域数×100%；
②通过走访社会公众并进行问卷调查，了解区域扬尘治理的开展情况。</t>
  </si>
  <si>
    <t>①得分=建筑扬尘治理覆盖率×2分；
②得分=（A类问卷调查对应问题得分×40%+B类问卷调查对应问题得分率×60%）×2分</t>
  </si>
  <si>
    <t>已开展扬尘治理，根据问卷调查数据统计，蒙自分局工作人员对应问题得分率为91%；蒙自市社会公众对应问题得分率为64%。</t>
  </si>
  <si>
    <t>已开展扬尘治理，根据问卷调查数据统计，个旧分局工作人员对应问题得分率为91.00%；个旧市社会公众对应问题得分率为73.00%。</t>
  </si>
  <si>
    <t>已开展扬尘治理，根据问卷调查数据统计，石屏分局工作人员对应问题得分率为78.18%；石屏县社会公众对应问题得分率为67%。</t>
  </si>
  <si>
    <t>已开展扬尘治理，根据问卷调查数据统计，建水分局工作人员对应问题得分率为97.00%；建水县社会公众对应问题得分率为56.5%。</t>
  </si>
  <si>
    <t>红河分局工作人员对应问题得分率为100%；红河县社会公众对应问题得分率为71.5%。</t>
  </si>
  <si>
    <t>建筑施工工地“六个百分百”方面存在问题，一是个别建筑施工场地围挡不到位；二是施工车辆没有严格按照建筑施工要求冲洗；三是建筑物料覆盖不严密；四是施工场地开挖未完全采取湿法作业，根据问卷调查数据统计，绿春分局工作人员对应问题得分率为70%；绿春县社会公众对应问题得分率为65.5%。</t>
  </si>
  <si>
    <t>已开展扬尘治理，根据问卷调查数据统计，元阳分局工作人员对应问题得分率为76%；元阳县社会公众对应问题得分率为68.5%。</t>
  </si>
  <si>
    <t>已开展扬尘治理，根据问卷调查数据统计，开远分局工作人员对应问题得分率为85%；开远市社会公众对应问题得分率为89.5%。</t>
  </si>
  <si>
    <r>
      <rPr>
        <sz val="10"/>
        <color theme="1"/>
        <rFont val="仿宋"/>
        <charset val="134"/>
      </rPr>
      <t>已开展扬尘治理</t>
    </r>
    <r>
      <rPr>
        <sz val="10"/>
        <rFont val="仿宋"/>
        <charset val="134"/>
      </rPr>
      <t>，根据问卷调查数据统计，屏边分局工作人员对应问题得分率为91%；屏边市社会公众对应问题得分率为67%。</t>
    </r>
  </si>
  <si>
    <t>已开展扬尘治理，根据问卷调查数据统计，弥勒分局工作人员对应问题得分率为91%；弥勒市社会公众对应问题得分率为71%。</t>
  </si>
  <si>
    <t>监管抽查发现问题整改率</t>
  </si>
  <si>
    <t>反映相关部门开展监管、抽查、巡查、督查等工作发现问题的整改情况。</t>
  </si>
  <si>
    <t>评价要点：
监管抽查发现问题整改率=发现问题整改完成单位数/发现问题单位数×100%</t>
  </si>
  <si>
    <t>得分=监管抽查发现问题整改率×4分。</t>
  </si>
  <si>
    <t>屏边县部分问题尚未整改完成。</t>
  </si>
  <si>
    <t>抽查发现86个问题，均已全部完成整改。</t>
  </si>
  <si>
    <t>15家企业22个问题已全部完成整改</t>
  </si>
  <si>
    <t>抽查发现55个问题，已完成整改54个。</t>
  </si>
  <si>
    <t>13家已全部完成整改</t>
  </si>
  <si>
    <t>行政处罚案件复议率</t>
  </si>
  <si>
    <t>反映红河州生态环境局相关部门开展巡查监管抽查等，做出的有关大气污染行政执法行为的执法质量情况。</t>
  </si>
  <si>
    <t>评价要点：
行政处罚案件复议率=复议案件数/处罚案件数×100%</t>
  </si>
  <si>
    <t>得分=（1-行政处罚案件复议率）×3分。</t>
  </si>
  <si>
    <t>年度内部分县市产生行政复议，经核实均已胜诉，故不扣分。</t>
  </si>
  <si>
    <t>未发现复议的情况</t>
  </si>
  <si>
    <t>本年大气行政处罚案件12件，产生行政复议1件，已胜诉。</t>
  </si>
  <si>
    <t>本年执法大队共有行政处罚案件9件，产生行政复议0件。</t>
  </si>
  <si>
    <t>本年大气行政处罚案件3件，产生行政复议0件。</t>
  </si>
  <si>
    <t>本年元阳分局无大气行政处罚案件。</t>
  </si>
  <si>
    <t>无行政复议</t>
  </si>
  <si>
    <t>共处罚53件，复议案件10件</t>
  </si>
  <si>
    <t>产出时效
（3分）</t>
  </si>
  <si>
    <t>信息报送及时率</t>
  </si>
  <si>
    <t>反映相关部门对整治工作落实和工作推进情况等信息报送的及时情况。</t>
  </si>
  <si>
    <t>评价要点：
信息报送及时率=报送及时单位部门数/部门数×100%
根据《红河州滇南中心城市大气污染联防联治攻坚战作战方案的通知》要求，每季度应报送上一季度进展统计表和工作进展情况报告。</t>
  </si>
  <si>
    <t>得分=信息报送及时率×3分</t>
  </si>
  <si>
    <t>信息报送具体涉及个旧、蒙自、开远四县市，其中个旧市未按相关要求报送相关统计表及工作进展情况报告。</t>
  </si>
  <si>
    <t>未按相关要求报送进展统计表和工作进展情况表。</t>
  </si>
  <si>
    <t>无需报送</t>
  </si>
  <si>
    <t>社会效益
（8分）</t>
  </si>
  <si>
    <t>污染防治工作知晓度</t>
  </si>
  <si>
    <t>反映工作人员、社会公众对2021年滇南中心城市大气污染联防联治专项资金项目的实施的知晓程度。</t>
  </si>
  <si>
    <t>评价要点：
通过问卷调查的方式，了解工作人员、社会公众对项目实施的知晓程度。</t>
  </si>
  <si>
    <t>得分=（A类问卷调查对应问题得分×30%+B类问卷调查对应问题得分率×70%）×3分</t>
  </si>
  <si>
    <t>根据问卷调查数据统计，蒙自分局工作人员对应问题得分率为91%；蒙自市社会公众对应问题综合得分率为41.33%。</t>
  </si>
  <si>
    <t>根据问卷调查数据统计，个旧分局工作人员对应问题得分率为76.00%；个旧市社会公众对应问题综合得分率为56%。</t>
  </si>
  <si>
    <t>根据问卷调查数据统计，石屏分局工作人员对应问题得分率为65.45%；石屏县社会公众对应问题综合得分率为38%。</t>
  </si>
  <si>
    <t>根据问卷调查数据统计，建水分局工作人员对应问题得分率为82.00%；建水县社会公众对应问题综合得分率为21.00%。</t>
  </si>
  <si>
    <t>根据问卷调查数据统计，红河分局工作人员对应问题得分率为100%；红河分局社会公众对应问题综合得分率为42%。</t>
  </si>
  <si>
    <t>根据问卷调查数据统计，绿春分局工作人员对应问题得分率为75%；绿春分局社会公众对应问题综合得分率为48.5%。</t>
  </si>
  <si>
    <t>根据问卷调查数据统计，元阳分局工作人员对应问题得分率为76%；元阳县社会公众对应问题综合得分率为36.50%。</t>
  </si>
  <si>
    <t>根据问卷调查数据统计，开远分局工作人员对应问题得分率为76%；开远市社会公众对应问题综合得分率为78.50%。</t>
  </si>
  <si>
    <r>
      <rPr>
        <sz val="10"/>
        <color theme="1"/>
        <rFont val="仿宋"/>
        <charset val="134"/>
      </rPr>
      <t>根据问卷调查数据统计，屏边分局工作人员对应问题得分率</t>
    </r>
    <r>
      <rPr>
        <sz val="10"/>
        <rFont val="仿宋"/>
        <charset val="134"/>
      </rPr>
      <t>为88%</t>
    </r>
    <r>
      <rPr>
        <sz val="10"/>
        <color theme="1"/>
        <rFont val="仿宋"/>
        <charset val="134"/>
      </rPr>
      <t>；屏边市社会公众对应问题综合得分率</t>
    </r>
    <r>
      <rPr>
        <sz val="10"/>
        <rFont val="仿宋"/>
        <charset val="134"/>
      </rPr>
      <t>为58.75%。</t>
    </r>
  </si>
  <si>
    <t>根据问卷调查数据统计，弥勒分局工作人员对应问题得分率为76%；弥勒市社会公众对应问题综合得分率为49.50%。</t>
  </si>
  <si>
    <t>提升社会公众环境保护意识</t>
  </si>
  <si>
    <t>反映项目的实施后，相关舆论宣传等工作的开展对提升社会公众环境保护意识的效果情况。</t>
  </si>
  <si>
    <t>评价要点：
通过问卷调查的方式，了解通过宣传报道滇南中心城市核心区大气环境综合治理工作情况，对提升社会公众环境保护意识的效果情况。</t>
  </si>
  <si>
    <t>根据问卷调查数据统计，蒙自分局工作人员对应问题得分率为94%；蒙自市社会公众对应问题综合得分率为68.67%。</t>
  </si>
  <si>
    <t>根据问卷调查数据统计，个旧分局工作人员对应问题得分率为88.00%；个旧市社会公众对应问题综合得分率为76.00%。</t>
  </si>
  <si>
    <t>根据问卷调查数据统计，石屏分局工作人员对应问题得分率为78.18%；石屏县社会公众对应问题综合得分率为65.50%。</t>
  </si>
  <si>
    <t>根据问卷调查数据统计，建水分局工作人员对应问题得分率为100%；建水县社会公众对应问题综合得分率为67.00%。</t>
  </si>
  <si>
    <t>根据问卷调查数据统计，红河分局工作人员对应问题得分率为100%；红河县社会公众对应问题综合得分率为71.5%。</t>
  </si>
  <si>
    <t>根据问卷调查数据统计，绿春分局工作人员对应问题得分率为58%；绿春县社会公众对应问题综合得分率为76%。</t>
  </si>
  <si>
    <t>根据问卷调查数据统计，元阳分局工作人员对应问题得分率为82%；元阳县社会公众对应问题综合得分率为74.50%。</t>
  </si>
  <si>
    <t>根据问卷调查数据统计，开远分局工作人员对应问题得分率为85%；开远市社会公众对应问题综合得分率为91%。</t>
  </si>
  <si>
    <r>
      <rPr>
        <sz val="10"/>
        <color theme="1"/>
        <rFont val="仿宋"/>
        <charset val="134"/>
      </rPr>
      <t>根据问卷调查数据统计，屏边分局工作人员对应问题得分率为</t>
    </r>
    <r>
      <rPr>
        <sz val="10"/>
        <rFont val="仿宋"/>
        <charset val="134"/>
      </rPr>
      <t>97</t>
    </r>
    <r>
      <rPr>
        <sz val="10"/>
        <color theme="1"/>
        <rFont val="仿宋"/>
        <charset val="134"/>
      </rPr>
      <t>%；屏边市社会公众对应问题综合得分率为</t>
    </r>
    <r>
      <rPr>
        <sz val="10"/>
        <rFont val="仿宋"/>
        <charset val="134"/>
      </rPr>
      <t>77.50%。</t>
    </r>
  </si>
  <si>
    <t>根据问卷调查数据统计，弥勒分局工作人员对应问题得分率为94%；弥勒市社会公众对应问题综合得分率为80.50%。</t>
  </si>
  <si>
    <t>提升生态环境部门应急处突能力</t>
  </si>
  <si>
    <t>反映通过开展培训、应急演练等，提升生态环境部门应急处突能力的情况。</t>
  </si>
  <si>
    <t>得分=A类问卷调查对应问题得分×2分</t>
  </si>
  <si>
    <t>根据问卷调查数据统计，蒙自分局工作人员对应问题得分率为97%。</t>
  </si>
  <si>
    <t>根据问卷调查数据统计，个旧分局工作人员对应问题得分率为94.00%。</t>
  </si>
  <si>
    <t>根据问卷调查数据统计，石屏分局工作人员对应问题得分率为80.91%。</t>
  </si>
  <si>
    <t>根据问卷调查数据统计，建水分局工作人员对应问题得分率为100%。</t>
  </si>
  <si>
    <t>根据问卷调查数据统计，红河分局工作人员对应问题得分率为100%。</t>
  </si>
  <si>
    <t>根据问卷调查数据统计，绿春分局工作人员对应问题得分率为67%。</t>
  </si>
  <si>
    <t>根据问卷调查数据统计，元阳分局工作人员对应问题得分率为82%。</t>
  </si>
  <si>
    <t>根据问卷调查数据统计，开远分局工作人员对应问题得分率为85%。</t>
  </si>
  <si>
    <r>
      <rPr>
        <sz val="10"/>
        <color theme="1"/>
        <rFont val="仿宋"/>
        <charset val="134"/>
      </rPr>
      <t>根据问卷调查数据统计，屏边分局工作人员对应问题得分</t>
    </r>
    <r>
      <rPr>
        <sz val="10"/>
        <rFont val="仿宋"/>
        <charset val="134"/>
      </rPr>
      <t>率为94%</t>
    </r>
    <r>
      <rPr>
        <sz val="10"/>
        <color theme="1"/>
        <rFont val="仿宋"/>
        <charset val="134"/>
      </rPr>
      <t>。</t>
    </r>
  </si>
  <si>
    <t>根据问卷调查数据统计，弥勒分局工作人员对应问题得分率为94%。</t>
  </si>
  <si>
    <t>生态效益
（10分）</t>
  </si>
  <si>
    <t>改善空气环境质量</t>
  </si>
  <si>
    <t>反映2021年滇南中心城市大气污染联防联治专项资金项目的实施，对改善空气环境质量的影响。</t>
  </si>
  <si>
    <t>评价要点：
①对比红河州近三年全州环境空气质量状况，本年空气质量是否较以前年度有所增长或保持；
②滇南中心城市环境空气质量优良天数是否较上年有所增长；
③通过问卷调查的方式，了解工作人员、社会公众项目实施对改善空气环境质量的效果情况。</t>
  </si>
  <si>
    <t>①本年空气环境质量较以前年度有所增长或保持，得2分；
②滇南中心城市环境空气质量优良天数是否较上年有所增长，得2分；
③得分=（A类问卷调查对应问题得分×40%+B类问卷调查对应问题得分率×60%）×1分</t>
  </si>
  <si>
    <t>根据问卷调查数据统计，蒙自分局工作人员对应问题得分率为94%；蒙自市社会公众对应问题得分率为72%。</t>
  </si>
  <si>
    <t>个旧市2021年空气优良天数比率为97.2%，2020年为97.8%，优良比率下降；根据问卷调查数据统计，个旧分局工作人员对应问题得分率为91.00%；个旧市社会公众对应问题得分率为76.00%。</t>
  </si>
  <si>
    <t>石屏县2021年空气优良天数比率为96.9%，2020年为99.4%，优良比率下降；根据问卷调查数据统计，石屏分局工作人员对应问题得分率为72.73%；石屏县社会公众对应问题得分率为68.5%。</t>
  </si>
  <si>
    <t>建水县2021年空气优良天数比率为98.00%，2020年为97.4%，优良比率上升；根据问卷调查数据统计，建水分局工作人员对应问题得分率为97.00%；建水县社会公众对应问题得分率为62.5%。</t>
  </si>
  <si>
    <t>红河县2021年空气优良天数比率为99.4%，2020年为100%，优良比率下降0.6%；
根据问卷调查数据统计，红河分局工作人员对应问题得分率为100%；红河分局社会公众对应问题得分率为69.5%。</t>
  </si>
  <si>
    <t>绿春县2021年空气优良天数比率为98.9%，2020年为97.7%，优良比率上升；根据问卷调查数据统计，绿春分局工作人员对应问题得分率为49%；绿春分局社会公众对应问题得分率为68.5%。</t>
  </si>
  <si>
    <t>元阳县2021年空气优良天数比率为99.7%，2020年为100%，优良比率下降；根据问卷调查数据统计，元阳分局工作人员对应问题得分率为82%；元阳县社会公众对应问题得分率为73%。</t>
  </si>
  <si>
    <t>开远市空气质量优良天数较上年下降1.6个百分点，根据问卷调查数据统计，开远分局工作人员对应问题得分率为85%；开远市社会公众对应问题得分率为89.5%。</t>
  </si>
  <si>
    <r>
      <rPr>
        <sz val="10"/>
        <color theme="1"/>
        <rFont val="仿宋"/>
        <charset val="134"/>
      </rPr>
      <t>屏边县空气质量优良天数较上年下降0.5个百分点，根据问卷调查数据统计，屏边分局工作人员对应问题得分率</t>
    </r>
    <r>
      <rPr>
        <sz val="10"/>
        <rFont val="仿宋"/>
        <charset val="134"/>
      </rPr>
      <t>为91%</t>
    </r>
    <r>
      <rPr>
        <sz val="10"/>
        <color theme="1"/>
        <rFont val="仿宋"/>
        <charset val="134"/>
      </rPr>
      <t>；屏边市社会公众对应问题得分</t>
    </r>
    <r>
      <rPr>
        <sz val="10"/>
        <rFont val="仿宋"/>
        <charset val="134"/>
      </rPr>
      <t>率为74.50%。</t>
    </r>
  </si>
  <si>
    <t>弥勒市空气质量优良天数较上年下降3.7个百分点，根据问卷调查数据统计，弥勒分局工作人员对应问题得分率为88%；弥勒市社会公众对应问题得分率为76%。</t>
  </si>
  <si>
    <t>减少大气污染排放</t>
  </si>
  <si>
    <t>反映2021年滇南中心城市大气污染联防联治专项资金项目的实施，对减少大气污染排放的效果情况。</t>
  </si>
  <si>
    <t>评价要点：
根据问题调查数据，了解桔梗、垃圾燃烧处置的情况。</t>
  </si>
  <si>
    <t>得分=B类问卷调查对应问题得分率×2分</t>
  </si>
  <si>
    <t>根据问卷调查数据统计，蒙自市社会公众对应问题得分率为71.67%。</t>
  </si>
  <si>
    <t>根据问卷调查数据统计，个旧市社会公众对应问题得分率为67.50%。</t>
  </si>
  <si>
    <t>根据问卷调查数据统计，石屏县社会公众对应问题得分率为55%。</t>
  </si>
  <si>
    <t>根据问卷调查数据统计，建水县社会公众对应问题得分率为75.00%。</t>
  </si>
  <si>
    <t>根据问卷调查数据统计，红河分局社会公众对应问题得分率为67.5%。</t>
  </si>
  <si>
    <t>根据问卷调查数据统计，绿春分局社会公众对应问题得分率为60%。</t>
  </si>
  <si>
    <t>根据问卷调查数据统计，元阳县社会公众对应问题得分率为72.5%。</t>
  </si>
  <si>
    <t>根据问卷调查数据统计，开远市社会公众对应问题得分率为72.5%。</t>
  </si>
  <si>
    <r>
      <rPr>
        <sz val="10"/>
        <color theme="1"/>
        <rFont val="仿宋"/>
        <charset val="134"/>
      </rPr>
      <t>根据问卷调查数据统计，屏边市社会公众对应问题得分率</t>
    </r>
    <r>
      <rPr>
        <sz val="10"/>
        <rFont val="仿宋"/>
        <charset val="134"/>
      </rPr>
      <t>为82.50%。</t>
    </r>
  </si>
  <si>
    <t>根据问卷调查数据统计，弥勒市社会公众对应问题得分率为80%。</t>
  </si>
  <si>
    <t>提升城乡人居环境</t>
  </si>
  <si>
    <t>评价要点：
通过问卷调查的方式，了解工作人员、社会公众项目实施对提升城乡人居环境的效果情况。</t>
  </si>
  <si>
    <t>得分=（A类问卷调查对应问题得分×40%+B类问卷调查对应问题得分率×60%）×3分</t>
  </si>
  <si>
    <t>根据问卷调查数据统计，蒙自分局工作人员对应问题得分率为94%；蒙自市社会公众对应问题得分率为73%。</t>
  </si>
  <si>
    <t>根据问卷调查数据统计，个旧分局工作人员对应问题得分率为88.00%；个旧市社会公众对应问题得分率为74.50%。</t>
  </si>
  <si>
    <t>根据问卷调查数据统计，石屏分局工作人员对应问题得分率为83.64%；石屏县社会公众对应问题得分率为68%。</t>
  </si>
  <si>
    <t>根据问卷调查数据统计，建水分局工作人员对应问题得分率为97.00%；建水县社会公众对应问题得分率为65.50%。</t>
  </si>
  <si>
    <t>根据问卷调查数据统计，红河分局工作人员对应问题得分率为100%；红河县社会公众对应问题得分率为67%。</t>
  </si>
  <si>
    <t>根据问卷调查数据统计，绿春分局工作人员对应问题得分率为55%；绿春县社会公众对应问题得分率为67%。</t>
  </si>
  <si>
    <t>根据问卷调查数据统计，元阳分局工作人员对应问题得分率为85%；元阳县社会公众对应问题得分率为68.50%。</t>
  </si>
  <si>
    <t>根据问卷调查数据统计，开远分局工作人员对应问题得分率为88%；开远市社会公众对应问题得分率为89.50%。</t>
  </si>
  <si>
    <r>
      <rPr>
        <sz val="10"/>
        <color theme="1"/>
        <rFont val="仿宋"/>
        <charset val="134"/>
      </rPr>
      <t>根据问卷调查数据统计，屏边分局工作人员对应问题得分率为</t>
    </r>
    <r>
      <rPr>
        <sz val="10"/>
        <rFont val="仿宋"/>
        <charset val="134"/>
      </rPr>
      <t>94%；</t>
    </r>
    <r>
      <rPr>
        <sz val="10"/>
        <color theme="1"/>
        <rFont val="仿宋"/>
        <charset val="134"/>
      </rPr>
      <t>屏边市社会公众对应问题得分率为</t>
    </r>
    <r>
      <rPr>
        <sz val="10"/>
        <rFont val="仿宋"/>
        <charset val="134"/>
      </rPr>
      <t>67%。</t>
    </r>
  </si>
  <si>
    <t>根据问卷调查数据统计，弥勒分局工作人员对应问题得分率为82%；弥勒市社会公众对应问题得分率为78.50%。</t>
  </si>
  <si>
    <t>通过问卷调查的方式，了解工作人员对2021年滇南中心城市大气污染联防联治专项资金项目实施的满意程度。</t>
  </si>
  <si>
    <t>评价要点：
通过问卷调查的方式，了解工作人员对2021年滇南中心城市大气污染联防联治专项资金项目实施的满意程度。</t>
  </si>
  <si>
    <t>满意度得分=工作人员满意度×4分。</t>
  </si>
  <si>
    <t>根据问卷调查数据统计，蒙自分局工作人员满意度为94%。</t>
  </si>
  <si>
    <t>根据问卷调查数据统计，个旧分局工作人员满意度为91.67%。</t>
  </si>
  <si>
    <t>根据问卷调查数据统计，石屏分局工作人员满意度为80.91%。</t>
  </si>
  <si>
    <t>根据问卷调查数据统计，建水分局工作人员满意度为97%。</t>
  </si>
  <si>
    <t>根据问卷调查数据统计，红河分局工作人员满意度为100%。</t>
  </si>
  <si>
    <t>根据问卷调查数据统计，绿春分局工作人员满意度为70%。</t>
  </si>
  <si>
    <t>根据问卷调查数据统计，元阳分局工作人员满意度为82%。</t>
  </si>
  <si>
    <t>根据问卷调查数据统计，开远分局工作人员满意度为87.67%。</t>
  </si>
  <si>
    <r>
      <rPr>
        <sz val="10"/>
        <color theme="1"/>
        <rFont val="仿宋"/>
        <charset val="134"/>
      </rPr>
      <t>根据问卷调</t>
    </r>
    <r>
      <rPr>
        <sz val="10"/>
        <rFont val="仿宋"/>
        <charset val="134"/>
      </rPr>
      <t>查数据统计，屏边分局工作人员满意度为94.67%。</t>
    </r>
  </si>
  <si>
    <t>根据问卷调查数据统计，弥勒分局工作人员满意度为90.67%。</t>
  </si>
  <si>
    <t>通过问卷调查的方式，了解社会公众对2021年滇南中心城市大气污染联防联治专项资金项目实施的满意程度。</t>
  </si>
  <si>
    <t>评价要点：
通过问卷调查的方式，了解社会公众对2021年滇南中心城市大气污染联防联治专项资金项目实施的满意程度。</t>
  </si>
  <si>
    <t>满意度得分=社会公众满意度×6分。</t>
  </si>
  <si>
    <t>根据问卷调查数据统计，蒙自市社会公众满意度为71.67%。</t>
  </si>
  <si>
    <t>根据问卷调查数据统计，个旧市社会公众满意度为77.22%。</t>
  </si>
  <si>
    <t>根据问卷调查数据统计，石屏县社会公众满意度为64%。</t>
  </si>
  <si>
    <t>根据问卷调查数据统计，建水县社会公众满意度为64%。</t>
  </si>
  <si>
    <t>根据问卷调查数据统计，红河分局社会公众满意度为71.5%。</t>
  </si>
  <si>
    <t>根据问卷调查数据统计，绿春分局社会公众满意度为70%。</t>
  </si>
  <si>
    <t>根据问卷调查数据统计，元阳县社会公众满意度为73%。</t>
  </si>
  <si>
    <t>根据问卷调查数据统计，开远市社会公众满意度为84.60%。</t>
  </si>
  <si>
    <r>
      <rPr>
        <sz val="10"/>
        <color theme="1"/>
        <rFont val="仿宋"/>
        <charset val="134"/>
      </rPr>
      <t>根据问卷调查</t>
    </r>
    <r>
      <rPr>
        <sz val="10"/>
        <rFont val="仿宋"/>
        <charset val="134"/>
      </rPr>
      <t>数据统计，屏边市社会公众满意度为70.35%。</t>
    </r>
  </si>
  <si>
    <t>根据问卷调查数据统计，弥勒市社会公众满意度为69.15%。</t>
  </si>
  <si>
    <t>一级指标</t>
  </si>
  <si>
    <t>评价得分</t>
  </si>
  <si>
    <t>得分率</t>
  </si>
  <si>
    <t>决策</t>
  </si>
  <si>
    <t>过程</t>
  </si>
  <si>
    <t>产出</t>
  </si>
  <si>
    <t>效益</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</si>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</sst>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b/>
      <sz val="10.5"/>
      <color theme="1"/>
      <name val="仿宋"/>
      <charset val="134"/>
    </font>
    <font>
      <sz val="10.5"/>
      <color theme="1"/>
      <name val="仿宋"/>
      <charset val="134"/>
    </font>
    <font>
      <b/>
      <sz val="10.5"/>
      <color theme="1"/>
      <name val="Times New Roman"/>
      <charset val="134"/>
    </font>
    <font>
      <sz val="11"/>
      <name val="宋体"/>
      <charset val="134"/>
      <scheme val="minor"/>
    </font>
    <font>
      <b/>
      <sz val="10"/>
      <name val="仿宋_GB2312"/>
      <charset val="134"/>
    </font>
    <font>
      <sz val="10"/>
      <name val="仿宋_GB2312"/>
      <charset val="134"/>
    </font>
    <font>
      <sz val="10"/>
      <color theme="1"/>
      <name val="仿宋_GB2312"/>
      <charset val="134"/>
    </font>
    <font>
      <sz val="14"/>
      <name val="黑体"/>
      <charset val="134"/>
    </font>
    <font>
      <sz val="22"/>
      <name val="方正小标宋简体"/>
      <charset val="134"/>
    </font>
    <font>
      <b/>
      <sz val="10"/>
      <name val="仿宋"/>
      <charset val="134"/>
    </font>
    <font>
      <b/>
      <sz val="10"/>
      <color theme="1"/>
      <name val="仿宋"/>
      <charset val="134"/>
    </font>
    <font>
      <sz val="10"/>
      <name val="仿宋"/>
      <charset val="134"/>
    </font>
    <font>
      <sz val="10"/>
      <color rgb="FF000000"/>
      <name val="仿宋"/>
      <charset val="134"/>
    </font>
    <font>
      <sz val="10"/>
      <color theme="1"/>
      <name val="仿宋"/>
      <charset val="134"/>
    </font>
    <font>
      <sz val="10"/>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2"/>
      <name val="宋体"/>
      <charset val="134"/>
    </font>
    <font>
      <sz val="12"/>
      <color theme="1"/>
      <name val="宋体"/>
      <charset val="134"/>
      <scheme val="minor"/>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6" borderId="13" applyNumberFormat="0" applyAlignment="0" applyProtection="0">
      <alignment vertical="center"/>
    </xf>
    <xf numFmtId="0" fontId="25" fillId="7" borderId="14" applyNumberFormat="0" applyAlignment="0" applyProtection="0">
      <alignment vertical="center"/>
    </xf>
    <xf numFmtId="0" fontId="26" fillId="7" borderId="13" applyNumberFormat="0" applyAlignment="0" applyProtection="0">
      <alignment vertical="center"/>
    </xf>
    <xf numFmtId="0" fontId="27" fillId="8"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9" fontId="0" fillId="0" borderId="0" applyFont="0" applyFill="0" applyBorder="0" applyAlignment="0" applyProtection="0">
      <alignment vertical="center"/>
    </xf>
    <xf numFmtId="0" fontId="35" fillId="0" borderId="0"/>
    <xf numFmtId="0" fontId="0" fillId="0" borderId="0">
      <alignment vertical="center"/>
    </xf>
    <xf numFmtId="0" fontId="36" fillId="0" borderId="0">
      <alignment vertical="center"/>
    </xf>
    <xf numFmtId="0" fontId="36" fillId="0" borderId="0">
      <alignment vertical="center"/>
    </xf>
    <xf numFmtId="0" fontId="0" fillId="0" borderId="0">
      <alignment vertical="center"/>
    </xf>
    <xf numFmtId="0" fontId="37" fillId="0" borderId="0"/>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36" fillId="0" borderId="0">
      <alignment vertical="center"/>
    </xf>
  </cellStyleXfs>
  <cellXfs count="14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4" xfId="1" applyFont="1" applyBorder="1" applyAlignment="1">
      <alignment horizontal="center" vertical="center" wrapText="1"/>
    </xf>
    <xf numFmtId="10" fontId="2" fillId="0" borderId="4"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43" fontId="3" fillId="0" borderId="4" xfId="1" applyFont="1" applyBorder="1" applyAlignment="1">
      <alignment horizontal="center" vertical="center" wrapText="1"/>
    </xf>
    <xf numFmtId="0" fontId="4" fillId="0" borderId="0" xfId="0" applyFont="1">
      <alignment vertical="center"/>
    </xf>
    <xf numFmtId="0" fontId="5"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9"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2" fillId="0" borderId="7" xfId="55" applyFont="1" applyBorder="1" applyAlignment="1">
      <alignment horizontal="center" vertical="center" wrapText="1"/>
    </xf>
    <xf numFmtId="0" fontId="12" fillId="0" borderId="7" xfId="56" applyFont="1" applyBorder="1" applyAlignment="1">
      <alignment horizontal="center" vertical="center" wrapText="1"/>
    </xf>
    <xf numFmtId="0" fontId="13" fillId="2" borderId="6" xfId="56" applyFont="1" applyFill="1" applyBorder="1" applyAlignment="1">
      <alignment horizontal="center" vertical="center" wrapText="1"/>
    </xf>
    <xf numFmtId="0" fontId="13" fillId="2" borderId="6" xfId="56" applyFont="1" applyFill="1" applyBorder="1" applyAlignment="1">
      <alignment horizontal="justify" vertical="center" wrapText="1"/>
    </xf>
    <xf numFmtId="0" fontId="14" fillId="0" borderId="6" xfId="56" applyFont="1" applyBorder="1" applyAlignment="1" applyProtection="1">
      <alignment vertical="center" wrapText="1"/>
      <protection locked="0"/>
    </xf>
    <xf numFmtId="43" fontId="14" fillId="0" borderId="6" xfId="56" applyNumberFormat="1" applyFont="1" applyBorder="1" applyAlignment="1" applyProtection="1">
      <alignment horizontal="left" vertical="center" wrapText="1"/>
      <protection locked="0"/>
    </xf>
    <xf numFmtId="0" fontId="12" fillId="0" borderId="8" xfId="55" applyFont="1" applyBorder="1" applyAlignment="1">
      <alignment horizontal="center" vertical="center" wrapText="1"/>
    </xf>
    <xf numFmtId="0" fontId="12" fillId="0" borderId="8" xfId="56" applyFont="1" applyBorder="1" applyAlignment="1">
      <alignment horizontal="center" vertical="center" wrapText="1"/>
    </xf>
    <xf numFmtId="0" fontId="12" fillId="0" borderId="6" xfId="0" applyFont="1" applyBorder="1" applyAlignment="1" applyProtection="1">
      <alignment horizontal="center" vertical="center" wrapText="1"/>
      <protection locked="0"/>
    </xf>
    <xf numFmtId="0" fontId="12" fillId="0" borderId="6" xfId="0" applyFont="1" applyBorder="1" applyAlignment="1" applyProtection="1">
      <alignment horizontal="left" vertical="center" wrapText="1"/>
      <protection locked="0"/>
    </xf>
    <xf numFmtId="0" fontId="12" fillId="0" borderId="6" xfId="53" applyFont="1" applyBorder="1" applyAlignment="1">
      <alignment horizontal="center" vertical="center" wrapText="1"/>
    </xf>
    <xf numFmtId="0" fontId="12" fillId="0" borderId="6" xfId="53" applyFont="1" applyBorder="1" applyAlignment="1">
      <alignment vertical="center" wrapText="1"/>
    </xf>
    <xf numFmtId="0" fontId="12" fillId="0" borderId="6" xfId="55" applyFont="1" applyBorder="1" applyAlignment="1">
      <alignment horizontal="center" vertical="center" wrapText="1"/>
    </xf>
    <xf numFmtId="0" fontId="12" fillId="0" borderId="6" xfId="55" applyFont="1" applyBorder="1" applyAlignment="1">
      <alignment vertical="center" wrapText="1"/>
    </xf>
    <xf numFmtId="0" fontId="12" fillId="0" borderId="9" xfId="56" applyFont="1" applyBorder="1" applyAlignment="1">
      <alignment horizontal="center" vertical="center" wrapText="1"/>
    </xf>
    <xf numFmtId="0" fontId="12" fillId="0" borderId="6" xfId="56" applyFont="1" applyBorder="1" applyAlignment="1">
      <alignment horizontal="center" vertical="center" wrapText="1"/>
    </xf>
    <xf numFmtId="0" fontId="12" fillId="0" borderId="6" xfId="0" applyFont="1" applyBorder="1" applyAlignment="1">
      <alignment horizontal="center" vertical="center" wrapText="1"/>
    </xf>
    <xf numFmtId="0" fontId="12" fillId="0" borderId="6" xfId="0" applyFont="1" applyBorder="1" applyAlignment="1">
      <alignment horizontal="left" vertical="center" wrapText="1"/>
    </xf>
    <xf numFmtId="0" fontId="12" fillId="0" borderId="9" xfId="55" applyFont="1" applyBorder="1" applyAlignment="1">
      <alignment horizontal="center" vertical="center" wrapText="1"/>
    </xf>
    <xf numFmtId="0" fontId="12" fillId="0" borderId="6" xfId="52" applyFont="1" applyBorder="1" applyAlignment="1">
      <alignment horizontal="left" vertical="center" wrapText="1" shrinkToFit="1"/>
    </xf>
    <xf numFmtId="0" fontId="14" fillId="0" borderId="6" xfId="0" applyFont="1" applyBorder="1" applyAlignment="1" applyProtection="1">
      <alignment horizontal="center" vertical="center" wrapText="1"/>
      <protection locked="0"/>
    </xf>
    <xf numFmtId="0" fontId="14" fillId="0" borderId="6" xfId="0" applyFont="1" applyBorder="1" applyAlignment="1" applyProtection="1">
      <alignment horizontal="left" vertical="center" wrapText="1"/>
      <protection locked="0"/>
    </xf>
    <xf numFmtId="0" fontId="14" fillId="0" borderId="6" xfId="56" applyFont="1" applyBorder="1" applyAlignment="1" applyProtection="1">
      <alignment horizontal="center" vertical="center" wrapText="1"/>
      <protection locked="0"/>
    </xf>
    <xf numFmtId="0" fontId="14" fillId="0" borderId="6" xfId="56" applyFont="1" applyBorder="1" applyAlignment="1" applyProtection="1">
      <alignment horizontal="left" vertical="center" wrapText="1"/>
      <protection locked="0"/>
    </xf>
    <xf numFmtId="0" fontId="14" fillId="0" borderId="6" xfId="56" applyFont="1" applyBorder="1" applyAlignment="1">
      <alignment horizontal="left" vertical="center" wrapText="1"/>
    </xf>
    <xf numFmtId="0" fontId="12" fillId="0" borderId="7" xfId="0" applyFont="1" applyBorder="1" applyAlignment="1" applyProtection="1">
      <alignment horizontal="center" vertical="center" wrapText="1"/>
      <protection locked="0"/>
    </xf>
    <xf numFmtId="0" fontId="13" fillId="0" borderId="6" xfId="56" applyFont="1" applyBorder="1" applyAlignment="1">
      <alignment horizontal="justify" vertical="center" wrapText="1"/>
    </xf>
    <xf numFmtId="0" fontId="12" fillId="0" borderId="6" xfId="54" applyFont="1" applyBorder="1" applyAlignment="1">
      <alignment horizontal="left" vertical="center" wrapText="1"/>
    </xf>
    <xf numFmtId="0" fontId="12" fillId="0" borderId="6" xfId="54" applyFont="1" applyBorder="1" applyAlignment="1">
      <alignment horizontal="justify" vertical="center" wrapText="1"/>
    </xf>
    <xf numFmtId="0" fontId="12" fillId="0" borderId="8" xfId="0" applyFont="1" applyBorder="1" applyAlignment="1" applyProtection="1">
      <alignment horizontal="center" vertical="center" wrapText="1"/>
      <protection locked="0"/>
    </xf>
    <xf numFmtId="0" fontId="12" fillId="0" borderId="6" xfId="54" applyFont="1" applyBorder="1" applyAlignment="1">
      <alignment horizontal="center" vertical="center" wrapText="1"/>
    </xf>
    <xf numFmtId="0" fontId="12" fillId="0" borderId="6" xfId="57" applyFont="1" applyBorder="1" applyAlignment="1" applyProtection="1">
      <alignment horizontal="left" vertical="center" wrapText="1"/>
      <protection locked="0"/>
    </xf>
    <xf numFmtId="0" fontId="12" fillId="0" borderId="9" xfId="0" applyFont="1" applyBorder="1" applyAlignment="1" applyProtection="1">
      <alignment horizontal="center" vertical="center" wrapText="1"/>
      <protection locked="0"/>
    </xf>
    <xf numFmtId="0" fontId="13" fillId="0" borderId="6" xfId="56" applyFont="1" applyBorder="1" applyAlignment="1">
      <alignment horizontal="center" vertical="center" wrapText="1"/>
    </xf>
    <xf numFmtId="0" fontId="13" fillId="0" borderId="6" xfId="56" applyFont="1" applyBorder="1" applyAlignment="1">
      <alignment vertical="center" wrapText="1"/>
    </xf>
    <xf numFmtId="0" fontId="12" fillId="0" borderId="6" xfId="0" applyFont="1" applyBorder="1" applyAlignment="1">
      <alignment vertical="center" wrapText="1"/>
    </xf>
    <xf numFmtId="43" fontId="7" fillId="0" borderId="6" xfId="0" applyNumberFormat="1" applyFont="1" applyBorder="1" applyAlignment="1" applyProtection="1">
      <alignment horizontal="left" vertical="center" wrapText="1"/>
      <protection locked="0"/>
    </xf>
    <xf numFmtId="43" fontId="7" fillId="0" borderId="0" xfId="0" applyNumberFormat="1" applyFont="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43" fontId="11" fillId="0" borderId="6" xfId="1" applyFont="1" applyBorder="1" applyAlignment="1" applyProtection="1">
      <alignment horizontal="center" vertical="center" wrapText="1"/>
      <protection locked="0"/>
    </xf>
    <xf numFmtId="43" fontId="11" fillId="0" borderId="6" xfId="1" applyFont="1" applyFill="1" applyBorder="1" applyAlignment="1" applyProtection="1">
      <alignment horizontal="center" vertical="center" wrapText="1"/>
      <protection locked="0"/>
    </xf>
    <xf numFmtId="43" fontId="14" fillId="0" borderId="6" xfId="1" applyFont="1" applyBorder="1" applyAlignment="1" applyProtection="1">
      <alignment horizontal="left" vertical="center" wrapText="1"/>
      <protection locked="0"/>
    </xf>
    <xf numFmtId="43" fontId="14" fillId="0" borderId="6" xfId="1" applyFont="1" applyBorder="1" applyAlignment="1" applyProtection="1">
      <alignment horizontal="center" vertical="center" wrapText="1"/>
      <protection locked="0"/>
    </xf>
    <xf numFmtId="43" fontId="14" fillId="0" borderId="6" xfId="1" applyFont="1" applyFill="1" applyBorder="1" applyAlignment="1" applyProtection="1">
      <alignment horizontal="center" vertical="center" wrapText="1"/>
      <protection locked="0"/>
    </xf>
    <xf numFmtId="43" fontId="12" fillId="3" borderId="6" xfId="1" applyFont="1" applyFill="1" applyBorder="1" applyAlignment="1" applyProtection="1">
      <alignment horizontal="left" vertical="center" wrapText="1"/>
      <protection locked="0"/>
    </xf>
    <xf numFmtId="43" fontId="12" fillId="3" borderId="6" xfId="1" applyFont="1" applyFill="1" applyBorder="1" applyAlignment="1" applyProtection="1">
      <alignment horizontal="center" vertical="center" wrapText="1"/>
      <protection locked="0"/>
    </xf>
    <xf numFmtId="43" fontId="12" fillId="0" borderId="6" xfId="1" applyFont="1" applyFill="1" applyBorder="1" applyAlignment="1" applyProtection="1">
      <alignment horizontal="center" vertical="center" wrapText="1"/>
      <protection locked="0"/>
    </xf>
    <xf numFmtId="43" fontId="14" fillId="3" borderId="6" xfId="1" applyFont="1" applyFill="1" applyBorder="1" applyAlignment="1">
      <alignment horizontal="left" vertical="center" wrapText="1"/>
    </xf>
    <xf numFmtId="43" fontId="14" fillId="3" borderId="6" xfId="1" applyFont="1" applyFill="1" applyBorder="1" applyAlignment="1">
      <alignment horizontal="center" vertical="center" wrapText="1"/>
    </xf>
    <xf numFmtId="43" fontId="14" fillId="0" borderId="6" xfId="1" applyFont="1" applyFill="1" applyBorder="1" applyAlignment="1">
      <alignment horizontal="center" vertical="center" wrapText="1"/>
    </xf>
    <xf numFmtId="43" fontId="14" fillId="0" borderId="6" xfId="1" applyFont="1" applyFill="1" applyBorder="1" applyAlignment="1" applyProtection="1">
      <alignment horizontal="left" vertical="center" wrapText="1"/>
      <protection locked="0"/>
    </xf>
    <xf numFmtId="0" fontId="7" fillId="0" borderId="6" xfId="0" applyFont="1" applyBorder="1" applyAlignment="1" applyProtection="1">
      <alignment horizontal="center" vertical="center" wrapText="1"/>
      <protection locked="0"/>
    </xf>
    <xf numFmtId="43" fontId="10" fillId="3" borderId="6" xfId="1" applyFont="1" applyFill="1" applyBorder="1" applyAlignment="1" applyProtection="1">
      <alignment horizontal="center" vertical="center" wrapText="1"/>
      <protection locked="0"/>
    </xf>
    <xf numFmtId="43" fontId="12" fillId="3" borderId="6" xfId="1" applyFont="1" applyFill="1" applyBorder="1" applyAlignment="1">
      <alignment horizontal="center" vertical="center" wrapText="1"/>
    </xf>
    <xf numFmtId="43" fontId="14" fillId="0" borderId="6" xfId="1" applyFont="1" applyFill="1" applyBorder="1" applyAlignment="1" applyProtection="1">
      <alignment horizontal="center" vertical="center" wrapText="1"/>
    </xf>
    <xf numFmtId="43" fontId="14" fillId="0" borderId="6" xfId="1" applyFont="1" applyBorder="1" applyAlignment="1" applyProtection="1">
      <alignment horizontal="center" vertical="center" wrapText="1"/>
    </xf>
    <xf numFmtId="0" fontId="14" fillId="3" borderId="6" xfId="0" applyFont="1" applyFill="1" applyBorder="1" applyAlignment="1" applyProtection="1">
      <alignment horizontal="left" vertical="center" wrapText="1"/>
      <protection locked="0"/>
    </xf>
    <xf numFmtId="0" fontId="10" fillId="3" borderId="6"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43" fontId="12" fillId="0" borderId="6" xfId="1" applyFont="1" applyBorder="1" applyAlignment="1" applyProtection="1">
      <alignment horizontal="center" vertical="center" wrapText="1"/>
      <protection locked="0"/>
    </xf>
    <xf numFmtId="0" fontId="12" fillId="3" borderId="6" xfId="56" applyFont="1" applyFill="1" applyBorder="1" applyAlignment="1" applyProtection="1">
      <alignment horizontal="left" vertical="center" wrapText="1"/>
      <protection locked="0"/>
    </xf>
    <xf numFmtId="0" fontId="12" fillId="0" borderId="6" xfId="56" applyFont="1" applyBorder="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43" fontId="12" fillId="4" borderId="6" xfId="1" applyFont="1" applyFill="1" applyBorder="1" applyAlignment="1" applyProtection="1">
      <alignment horizontal="center" vertical="center" wrapText="1"/>
      <protection locked="0"/>
    </xf>
    <xf numFmtId="43" fontId="14" fillId="4" borderId="6" xfId="1" applyFont="1" applyFill="1" applyBorder="1" applyAlignment="1" applyProtection="1">
      <alignment horizontal="center" vertical="center" wrapText="1"/>
      <protection locked="0"/>
    </xf>
    <xf numFmtId="43" fontId="14" fillId="3" borderId="6" xfId="1" applyFont="1" applyFill="1" applyBorder="1" applyAlignment="1" applyProtection="1">
      <alignment horizontal="center" vertical="center" wrapText="1"/>
      <protection locked="0"/>
    </xf>
    <xf numFmtId="0" fontId="15" fillId="0" borderId="6"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43" fontId="14" fillId="4" borderId="6" xfId="56" applyNumberFormat="1" applyFont="1" applyFill="1" applyBorder="1" applyAlignment="1" applyProtection="1">
      <alignment horizontal="left" vertical="center" wrapText="1"/>
      <protection locked="0"/>
    </xf>
    <xf numFmtId="0" fontId="6" fillId="0" borderId="0" xfId="0" applyFont="1" applyFill="1" applyAlignment="1" applyProtection="1">
      <alignment vertical="center" wrapText="1"/>
      <protection locked="0"/>
    </xf>
    <xf numFmtId="0" fontId="4" fillId="0" borderId="0" xfId="0" applyFont="1" applyFill="1">
      <alignment vertical="center"/>
    </xf>
    <xf numFmtId="0" fontId="6" fillId="4" borderId="0" xfId="0" applyFont="1" applyFill="1" applyAlignment="1" applyProtection="1">
      <alignment vertical="center" wrapText="1"/>
      <protection locked="0"/>
    </xf>
    <xf numFmtId="0" fontId="7" fillId="0" borderId="0" xfId="0" applyFont="1" applyAlignment="1" applyProtection="1">
      <alignment vertical="center" wrapText="1"/>
      <protection locked="0"/>
    </xf>
    <xf numFmtId="43" fontId="6" fillId="0" borderId="0" xfId="1" applyFont="1" applyAlignment="1" applyProtection="1">
      <alignment vertical="center" wrapText="1"/>
      <protection locked="0"/>
    </xf>
    <xf numFmtId="0" fontId="10" fillId="0" borderId="6"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12" fillId="0" borderId="6" xfId="55" applyFont="1" applyFill="1" applyBorder="1" applyAlignment="1">
      <alignment horizontal="center" vertical="center" wrapText="1"/>
    </xf>
    <xf numFmtId="0" fontId="12" fillId="0" borderId="6" xfId="56" applyFont="1" applyFill="1" applyBorder="1" applyAlignment="1">
      <alignment horizontal="center" vertical="center" wrapText="1"/>
    </xf>
    <xf numFmtId="0" fontId="12" fillId="0" borderId="6"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left" vertical="center" wrapText="1"/>
      <protection locked="0"/>
    </xf>
    <xf numFmtId="43" fontId="12" fillId="0" borderId="6" xfId="1" applyFont="1" applyFill="1" applyBorder="1" applyAlignment="1" applyProtection="1">
      <alignment horizontal="left" vertical="center" wrapText="1"/>
      <protection locked="0"/>
    </xf>
    <xf numFmtId="0" fontId="12" fillId="0" borderId="6" xfId="55" applyFont="1" applyFill="1" applyBorder="1" applyAlignment="1">
      <alignment vertical="center" wrapText="1"/>
    </xf>
    <xf numFmtId="0" fontId="13" fillId="0" borderId="6" xfId="56" applyFont="1" applyFill="1" applyBorder="1" applyAlignment="1">
      <alignment horizontal="center" vertical="center" wrapText="1"/>
    </xf>
    <xf numFmtId="0" fontId="13" fillId="0" borderId="6" xfId="56" applyFont="1" applyFill="1" applyBorder="1" applyAlignment="1">
      <alignment vertical="center" wrapText="1"/>
    </xf>
    <xf numFmtId="0" fontId="13" fillId="0" borderId="6" xfId="56" applyFont="1" applyFill="1" applyBorder="1" applyAlignment="1">
      <alignment horizontal="left" vertical="center" wrapText="1"/>
    </xf>
    <xf numFmtId="176" fontId="12" fillId="0" borderId="6" xfId="53" applyNumberFormat="1" applyFont="1" applyFill="1" applyBorder="1" applyAlignment="1">
      <alignment horizontal="right" vertical="center"/>
    </xf>
    <xf numFmtId="0" fontId="13" fillId="0" borderId="6" xfId="56" applyFont="1" applyFill="1" applyBorder="1" applyAlignment="1">
      <alignment horizontal="justify" vertical="center" wrapText="1"/>
    </xf>
    <xf numFmtId="0" fontId="14" fillId="0" borderId="6" xfId="56" applyFont="1" applyFill="1" applyBorder="1" applyAlignment="1" applyProtection="1">
      <alignment vertical="center" wrapText="1"/>
      <protection locked="0"/>
    </xf>
    <xf numFmtId="0" fontId="12" fillId="0" borderId="6" xfId="53" applyFont="1" applyFill="1" applyBorder="1" applyAlignment="1">
      <alignment horizontal="center" vertical="center" wrapText="1"/>
    </xf>
    <xf numFmtId="0" fontId="12" fillId="0" borderId="6" xfId="53" applyFont="1" applyFill="1" applyBorder="1" applyAlignment="1">
      <alignment vertical="center" wrapText="1"/>
    </xf>
    <xf numFmtId="0" fontId="12" fillId="0" borderId="6"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6" xfId="56" applyFont="1" applyFill="1" applyBorder="1" applyAlignment="1">
      <alignment vertical="center" wrapText="1"/>
    </xf>
    <xf numFmtId="43" fontId="14" fillId="0" borderId="6" xfId="56" applyNumberFormat="1" applyFont="1" applyFill="1" applyBorder="1" applyAlignment="1" applyProtection="1">
      <alignment horizontal="left" vertical="center" wrapText="1"/>
      <protection locked="0"/>
    </xf>
    <xf numFmtId="0" fontId="12" fillId="0" borderId="6" xfId="52" applyFont="1" applyFill="1" applyBorder="1" applyAlignment="1">
      <alignment horizontal="left" vertical="center" wrapText="1" shrinkToFit="1"/>
    </xf>
    <xf numFmtId="0" fontId="14" fillId="0" borderId="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left" vertical="center" wrapText="1"/>
      <protection locked="0"/>
    </xf>
    <xf numFmtId="0" fontId="12" fillId="0" borderId="6" xfId="0" applyFont="1" applyFill="1" applyBorder="1" applyAlignment="1" applyProtection="1">
      <alignment vertical="center" wrapText="1"/>
      <protection locked="0"/>
    </xf>
    <xf numFmtId="0" fontId="14" fillId="0" borderId="6" xfId="0" applyFont="1" applyFill="1" applyBorder="1" applyAlignment="1" applyProtection="1">
      <alignment vertical="center" wrapText="1"/>
      <protection locked="0"/>
    </xf>
    <xf numFmtId="0" fontId="12" fillId="0" borderId="7"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2" fillId="0" borderId="6" xfId="59" applyFont="1" applyFill="1" applyBorder="1" applyAlignment="1">
      <alignment horizontal="left" vertical="center" wrapText="1"/>
    </xf>
    <xf numFmtId="0" fontId="12" fillId="0" borderId="6" xfId="53" applyFont="1" applyFill="1" applyBorder="1" applyAlignment="1" applyProtection="1">
      <alignment vertical="center" wrapText="1"/>
      <protection locked="0"/>
    </xf>
    <xf numFmtId="0" fontId="14" fillId="0" borderId="6" xfId="56" applyFont="1" applyFill="1" applyBorder="1" applyAlignment="1" applyProtection="1">
      <alignment horizontal="center" vertical="center" wrapText="1"/>
      <protection locked="0"/>
    </xf>
    <xf numFmtId="0" fontId="14" fillId="0" borderId="6" xfId="56" applyFont="1" applyFill="1" applyBorder="1" applyAlignment="1" applyProtection="1">
      <alignment horizontal="left" vertical="center" wrapText="1"/>
      <protection locked="0"/>
    </xf>
    <xf numFmtId="0" fontId="14" fillId="0" borderId="6" xfId="56" applyFont="1" applyFill="1" applyBorder="1" applyAlignment="1">
      <alignment horizontal="left" vertical="center" wrapText="1"/>
    </xf>
    <xf numFmtId="0" fontId="12" fillId="0" borderId="6" xfId="54" applyFont="1" applyFill="1" applyBorder="1" applyAlignment="1">
      <alignment horizontal="center" vertical="center" wrapText="1"/>
    </xf>
    <xf numFmtId="0" fontId="12" fillId="0" borderId="6" xfId="54" applyFont="1" applyFill="1" applyBorder="1" applyAlignment="1" applyProtection="1">
      <alignment horizontal="left" vertical="center" wrapText="1"/>
      <protection locked="0"/>
    </xf>
    <xf numFmtId="0" fontId="12" fillId="0" borderId="6" xfId="54" applyFont="1" applyFill="1" applyBorder="1" applyAlignment="1">
      <alignment horizontal="left" vertical="center" wrapText="1"/>
    </xf>
    <xf numFmtId="0" fontId="12" fillId="0" borderId="6" xfId="0" applyFont="1" applyFill="1" applyBorder="1" applyAlignment="1">
      <alignment vertical="center" wrapText="1"/>
    </xf>
    <xf numFmtId="43" fontId="12" fillId="0" borderId="6" xfId="1" applyFont="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43" fontId="6" fillId="0" borderId="0" xfId="1" applyFont="1" applyFill="1" applyAlignment="1" applyProtection="1">
      <alignment vertical="center" wrapText="1"/>
      <protection locked="0"/>
    </xf>
    <xf numFmtId="43" fontId="4" fillId="0" borderId="0" xfId="1" applyFont="1" applyFill="1">
      <alignment vertical="center"/>
    </xf>
    <xf numFmtId="0" fontId="12" fillId="0" borderId="6" xfId="53" applyFont="1" applyFill="1" applyBorder="1" applyAlignment="1" applyProtection="1">
      <alignment horizontal="left" vertical="center" wrapText="1"/>
      <protection locked="0"/>
    </xf>
    <xf numFmtId="176" fontId="12" fillId="0" borderId="6" xfId="53" applyNumberFormat="1" applyFont="1" applyFill="1" applyBorder="1" applyAlignment="1">
      <alignment horizontal="left" vertical="center" wrapText="1"/>
    </xf>
    <xf numFmtId="10" fontId="6" fillId="0" borderId="0" xfId="3" applyNumberFormat="1" applyFont="1" applyFill="1" applyAlignment="1" applyProtection="1">
      <alignment vertical="center" wrapText="1"/>
      <protection locked="0"/>
    </xf>
    <xf numFmtId="0" fontId="7" fillId="0" borderId="6" xfId="0" applyFont="1" applyBorder="1" applyAlignment="1" applyProtection="1">
      <alignment vertical="center" wrapText="1"/>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6" xfId="50"/>
    <cellStyle name="常规 6 2" xfId="51"/>
    <cellStyle name="常规 9" xfId="52"/>
    <cellStyle name="常规 2 2" xfId="53"/>
    <cellStyle name="常规 2 3" xfId="54"/>
    <cellStyle name="常规 2" xfId="55"/>
    <cellStyle name="常规 3" xfId="56"/>
    <cellStyle name="常规 4" xfId="57"/>
    <cellStyle name="千位分隔 2" xfId="58"/>
    <cellStyle name="常规_绩效考评指标(4.1）" xfId="59"/>
  </cellStyles>
  <tableStyles count="0" defaultTableStyle="TableStyleMedium9" defaultPivotStyle="PivotStyleLight16"/>
  <colors>
    <mruColors>
      <color rgb="00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
  <sheetViews>
    <sheetView tabSelected="1" view="pageBreakPreview" zoomScale="80" zoomScaleNormal="90" topLeftCell="A28" workbookViewId="0">
      <selection activeCell="E34" sqref="E34"/>
    </sheetView>
  </sheetViews>
  <sheetFormatPr defaultColWidth="9" defaultRowHeight="12"/>
  <cols>
    <col min="1" max="1" width="9" style="12" customWidth="1"/>
    <col min="2" max="2" width="10.4416666666667" style="93" customWidth="1"/>
    <col min="3" max="3" width="16.775" style="13" customWidth="1"/>
    <col min="4" max="4" width="5.44166666666667" style="13" customWidth="1"/>
    <col min="5" max="5" width="33.2166666666667" style="12" customWidth="1"/>
    <col min="6" max="6" width="66" style="12" customWidth="1"/>
    <col min="7" max="7" width="64.3333333333333" style="12" customWidth="1"/>
    <col min="8" max="8" width="10" style="14" customWidth="1"/>
    <col min="9" max="9" width="26.1083333333333" style="94" customWidth="1"/>
    <col min="10" max="10" width="11.8833333333333" style="95" customWidth="1"/>
    <col min="11" max="11" width="14.8833333333333" style="12" customWidth="1"/>
    <col min="12" max="16384" width="9" style="12"/>
  </cols>
  <sheetData>
    <row r="1" ht="25.65" customHeight="1" spans="1:9">
      <c r="A1" s="16" t="s">
        <v>0</v>
      </c>
      <c r="B1" s="16"/>
      <c r="H1" s="17"/>
      <c r="I1" s="134"/>
    </row>
    <row r="2" ht="34.65" customHeight="1" spans="1:9">
      <c r="A2" s="18" t="s">
        <v>1</v>
      </c>
      <c r="B2" s="18"/>
      <c r="C2" s="18"/>
      <c r="D2" s="18"/>
      <c r="E2" s="18"/>
      <c r="F2" s="18"/>
      <c r="G2" s="18"/>
      <c r="H2" s="18"/>
      <c r="I2" s="18"/>
    </row>
    <row r="3" s="91" customFormat="1" ht="41.25" customHeight="1" spans="1:10">
      <c r="A3" s="96" t="s">
        <v>2</v>
      </c>
      <c r="B3" s="96" t="s">
        <v>3</v>
      </c>
      <c r="C3" s="96" t="s">
        <v>4</v>
      </c>
      <c r="D3" s="96" t="s">
        <v>5</v>
      </c>
      <c r="E3" s="96" t="s">
        <v>6</v>
      </c>
      <c r="F3" s="96" t="s">
        <v>7</v>
      </c>
      <c r="G3" s="96" t="s">
        <v>8</v>
      </c>
      <c r="H3" s="97" t="s">
        <v>9</v>
      </c>
      <c r="I3" s="97" t="s">
        <v>10</v>
      </c>
      <c r="J3" s="135"/>
    </row>
    <row r="4" s="92" customFormat="1" ht="94.8" customHeight="1" spans="1:10">
      <c r="A4" s="98" t="s">
        <v>11</v>
      </c>
      <c r="B4" s="99" t="s">
        <v>12</v>
      </c>
      <c r="C4" s="100" t="s">
        <v>13</v>
      </c>
      <c r="D4" s="100">
        <v>3</v>
      </c>
      <c r="E4" s="101" t="s">
        <v>14</v>
      </c>
      <c r="F4" s="101" t="s">
        <v>15</v>
      </c>
      <c r="G4" s="101" t="s">
        <v>16</v>
      </c>
      <c r="H4" s="102">
        <v>3</v>
      </c>
      <c r="I4" s="100"/>
      <c r="J4" s="136">
        <f>D4-H4</f>
        <v>0</v>
      </c>
    </row>
    <row r="5" s="92" customFormat="1" ht="79.2" customHeight="1" spans="1:10">
      <c r="A5" s="98"/>
      <c r="B5" s="99"/>
      <c r="C5" s="100" t="s">
        <v>17</v>
      </c>
      <c r="D5" s="100">
        <v>2</v>
      </c>
      <c r="E5" s="101" t="s">
        <v>18</v>
      </c>
      <c r="F5" s="103" t="s">
        <v>19</v>
      </c>
      <c r="G5" s="101" t="s">
        <v>20</v>
      </c>
      <c r="H5" s="102">
        <v>2</v>
      </c>
      <c r="I5" s="100"/>
      <c r="J5" s="136">
        <f t="shared" ref="J5:J35" si="0">D5-H5</f>
        <v>0</v>
      </c>
    </row>
    <row r="6" s="92" customFormat="1" ht="81.6" customHeight="1" spans="1:10">
      <c r="A6" s="98"/>
      <c r="B6" s="99" t="s">
        <v>21</v>
      </c>
      <c r="C6" s="104" t="s">
        <v>22</v>
      </c>
      <c r="D6" s="104">
        <v>2</v>
      </c>
      <c r="E6" s="105" t="s">
        <v>23</v>
      </c>
      <c r="F6" s="106" t="s">
        <v>24</v>
      </c>
      <c r="G6" s="106" t="s">
        <v>25</v>
      </c>
      <c r="H6" s="107">
        <v>2</v>
      </c>
      <c r="I6" s="137"/>
      <c r="J6" s="136">
        <f t="shared" si="0"/>
        <v>0</v>
      </c>
    </row>
    <row r="7" s="92" customFormat="1" ht="75.6" customHeight="1" spans="1:10">
      <c r="A7" s="98"/>
      <c r="B7" s="99"/>
      <c r="C7" s="104" t="s">
        <v>26</v>
      </c>
      <c r="D7" s="104">
        <v>3</v>
      </c>
      <c r="E7" s="105" t="s">
        <v>27</v>
      </c>
      <c r="F7" s="108" t="s">
        <v>28</v>
      </c>
      <c r="G7" s="108" t="s">
        <v>29</v>
      </c>
      <c r="H7" s="107">
        <v>2</v>
      </c>
      <c r="I7" s="101" t="s">
        <v>30</v>
      </c>
      <c r="J7" s="136">
        <f t="shared" si="0"/>
        <v>1</v>
      </c>
    </row>
    <row r="8" s="92" customFormat="1" ht="87" customHeight="1" spans="1:10">
      <c r="A8" s="98"/>
      <c r="B8" s="99" t="s">
        <v>31</v>
      </c>
      <c r="C8" s="98" t="s">
        <v>32</v>
      </c>
      <c r="D8" s="98">
        <v>3</v>
      </c>
      <c r="E8" s="103" t="s">
        <v>33</v>
      </c>
      <c r="F8" s="103" t="s">
        <v>34</v>
      </c>
      <c r="G8" s="103" t="s">
        <v>35</v>
      </c>
      <c r="H8" s="102">
        <v>3</v>
      </c>
      <c r="I8" s="104"/>
      <c r="J8" s="136">
        <f t="shared" si="0"/>
        <v>0</v>
      </c>
    </row>
    <row r="9" s="92" customFormat="1" ht="79.8" customHeight="1" spans="1:10">
      <c r="A9" s="98"/>
      <c r="B9" s="99"/>
      <c r="C9" s="104" t="s">
        <v>36</v>
      </c>
      <c r="D9" s="104">
        <v>2</v>
      </c>
      <c r="E9" s="108" t="s">
        <v>37</v>
      </c>
      <c r="F9" s="108" t="s">
        <v>38</v>
      </c>
      <c r="G9" s="109" t="s">
        <v>39</v>
      </c>
      <c r="H9" s="102">
        <v>2</v>
      </c>
      <c r="I9" s="106"/>
      <c r="J9" s="136">
        <f t="shared" si="0"/>
        <v>0</v>
      </c>
    </row>
    <row r="10" s="92" customFormat="1" ht="79.8" customHeight="1" spans="1:10">
      <c r="A10" s="98" t="s">
        <v>40</v>
      </c>
      <c r="B10" s="99" t="s">
        <v>41</v>
      </c>
      <c r="C10" s="100" t="s">
        <v>42</v>
      </c>
      <c r="D10" s="100">
        <v>1</v>
      </c>
      <c r="E10" s="101" t="s">
        <v>43</v>
      </c>
      <c r="F10" s="101" t="s">
        <v>44</v>
      </c>
      <c r="G10" s="101" t="s">
        <v>45</v>
      </c>
      <c r="H10" s="102">
        <v>1</v>
      </c>
      <c r="I10" s="126"/>
      <c r="J10" s="136">
        <f t="shared" si="0"/>
        <v>0</v>
      </c>
    </row>
    <row r="11" s="92" customFormat="1" ht="69" customHeight="1" spans="1:10">
      <c r="A11" s="98"/>
      <c r="B11" s="99"/>
      <c r="C11" s="110" t="s">
        <v>46</v>
      </c>
      <c r="D11" s="110">
        <v>2</v>
      </c>
      <c r="E11" s="111" t="s">
        <v>47</v>
      </c>
      <c r="F11" s="111" t="s">
        <v>48</v>
      </c>
      <c r="G11" s="111" t="s">
        <v>49</v>
      </c>
      <c r="H11" s="102">
        <v>2</v>
      </c>
      <c r="I11" s="127" t="s">
        <v>50</v>
      </c>
      <c r="J11" s="136">
        <f t="shared" si="0"/>
        <v>0</v>
      </c>
    </row>
    <row r="12" s="92" customFormat="1" ht="93" customHeight="1" spans="1:10">
      <c r="A12" s="98"/>
      <c r="B12" s="99"/>
      <c r="C12" s="98" t="s">
        <v>51</v>
      </c>
      <c r="D12" s="98">
        <v>3</v>
      </c>
      <c r="E12" s="103" t="s">
        <v>52</v>
      </c>
      <c r="F12" s="103" t="s">
        <v>53</v>
      </c>
      <c r="G12" s="103" t="s">
        <v>54</v>
      </c>
      <c r="H12" s="102">
        <v>2</v>
      </c>
      <c r="I12" s="118" t="s">
        <v>55</v>
      </c>
      <c r="J12" s="136">
        <f t="shared" si="0"/>
        <v>1</v>
      </c>
    </row>
    <row r="13" s="92" customFormat="1" ht="94.2" customHeight="1" spans="1:10">
      <c r="A13" s="98" t="s">
        <v>40</v>
      </c>
      <c r="B13" s="99" t="s">
        <v>41</v>
      </c>
      <c r="C13" s="100" t="s">
        <v>56</v>
      </c>
      <c r="D13" s="100">
        <v>2</v>
      </c>
      <c r="E13" s="101" t="s">
        <v>57</v>
      </c>
      <c r="F13" s="101" t="s">
        <v>58</v>
      </c>
      <c r="G13" s="101" t="s">
        <v>59</v>
      </c>
      <c r="H13" s="102">
        <v>2</v>
      </c>
      <c r="I13" s="101"/>
      <c r="J13" s="136">
        <f t="shared" si="0"/>
        <v>0</v>
      </c>
    </row>
    <row r="14" s="92" customFormat="1" ht="65.4" customHeight="1" spans="1:10">
      <c r="A14" s="98"/>
      <c r="B14" s="99" t="s">
        <v>60</v>
      </c>
      <c r="C14" s="100" t="s">
        <v>61</v>
      </c>
      <c r="D14" s="100">
        <v>3</v>
      </c>
      <c r="E14" s="101" t="s">
        <v>62</v>
      </c>
      <c r="F14" s="101" t="s">
        <v>63</v>
      </c>
      <c r="G14" s="101" t="s">
        <v>64</v>
      </c>
      <c r="H14" s="107">
        <v>1.5</v>
      </c>
      <c r="I14" s="138" t="s">
        <v>65</v>
      </c>
      <c r="J14" s="136">
        <f t="shared" si="0"/>
        <v>1.5</v>
      </c>
    </row>
    <row r="15" s="92" customFormat="1" ht="141.6" customHeight="1" spans="1:10">
      <c r="A15" s="98"/>
      <c r="B15" s="99"/>
      <c r="C15" s="112" t="s">
        <v>66</v>
      </c>
      <c r="D15" s="112">
        <v>2</v>
      </c>
      <c r="E15" s="113" t="s">
        <v>67</v>
      </c>
      <c r="F15" s="113" t="s">
        <v>68</v>
      </c>
      <c r="G15" s="101" t="s">
        <v>69</v>
      </c>
      <c r="H15" s="102">
        <v>2</v>
      </c>
      <c r="I15" s="118" t="s">
        <v>70</v>
      </c>
      <c r="J15" s="136">
        <f t="shared" si="0"/>
        <v>0</v>
      </c>
    </row>
    <row r="16" s="92" customFormat="1" ht="127.8" customHeight="1" spans="1:10">
      <c r="A16" s="98"/>
      <c r="B16" s="99"/>
      <c r="C16" s="100" t="s">
        <v>71</v>
      </c>
      <c r="D16" s="100">
        <v>2</v>
      </c>
      <c r="E16" s="101" t="s">
        <v>72</v>
      </c>
      <c r="F16" s="101" t="s">
        <v>73</v>
      </c>
      <c r="G16" s="101" t="s">
        <v>74</v>
      </c>
      <c r="H16" s="102">
        <v>1</v>
      </c>
      <c r="I16" s="118" t="s">
        <v>75</v>
      </c>
      <c r="J16" s="136">
        <f t="shared" si="0"/>
        <v>1</v>
      </c>
    </row>
    <row r="17" s="92" customFormat="1" ht="84.6" customHeight="1" spans="1:10">
      <c r="A17" s="98"/>
      <c r="B17" s="99"/>
      <c r="C17" s="99" t="s">
        <v>76</v>
      </c>
      <c r="D17" s="99">
        <v>2</v>
      </c>
      <c r="E17" s="114" t="s">
        <v>77</v>
      </c>
      <c r="F17" s="114" t="s">
        <v>78</v>
      </c>
      <c r="G17" s="114" t="s">
        <v>79</v>
      </c>
      <c r="H17" s="115">
        <v>1</v>
      </c>
      <c r="I17" s="118" t="s">
        <v>80</v>
      </c>
      <c r="J17" s="136">
        <f t="shared" si="0"/>
        <v>1</v>
      </c>
    </row>
    <row r="18" s="92" customFormat="1" ht="109.2" customHeight="1" spans="1:10">
      <c r="A18" s="98"/>
      <c r="B18" s="99"/>
      <c r="C18" s="100" t="s">
        <v>81</v>
      </c>
      <c r="D18" s="100">
        <v>3</v>
      </c>
      <c r="E18" s="116" t="s">
        <v>82</v>
      </c>
      <c r="F18" s="101" t="s">
        <v>83</v>
      </c>
      <c r="G18" s="101" t="s">
        <v>84</v>
      </c>
      <c r="H18" s="115">
        <v>1.5</v>
      </c>
      <c r="I18" s="118" t="s">
        <v>85</v>
      </c>
      <c r="J18" s="136">
        <f t="shared" si="0"/>
        <v>1.5</v>
      </c>
    </row>
    <row r="19" s="91" customFormat="1" ht="67.8" customHeight="1" spans="1:10">
      <c r="A19" s="100" t="s">
        <v>86</v>
      </c>
      <c r="B19" s="100" t="s">
        <v>87</v>
      </c>
      <c r="C19" s="117" t="s">
        <v>88</v>
      </c>
      <c r="D19" s="117">
        <v>8</v>
      </c>
      <c r="E19" s="118" t="s">
        <v>89</v>
      </c>
      <c r="F19" s="119" t="s">
        <v>90</v>
      </c>
      <c r="G19" s="119" t="s">
        <v>91</v>
      </c>
      <c r="H19" s="115">
        <v>8</v>
      </c>
      <c r="I19" s="118"/>
      <c r="J19" s="136">
        <f t="shared" si="0"/>
        <v>0</v>
      </c>
    </row>
    <row r="20" s="91" customFormat="1" ht="72.6" customHeight="1" spans="1:10">
      <c r="A20" s="100"/>
      <c r="B20" s="100"/>
      <c r="C20" s="117" t="s">
        <v>92</v>
      </c>
      <c r="D20" s="117">
        <v>4</v>
      </c>
      <c r="E20" s="118" t="s">
        <v>93</v>
      </c>
      <c r="F20" s="118" t="s">
        <v>94</v>
      </c>
      <c r="G20" s="118" t="s">
        <v>95</v>
      </c>
      <c r="H20" s="115">
        <v>4</v>
      </c>
      <c r="I20" s="118"/>
      <c r="J20" s="136">
        <f t="shared" si="0"/>
        <v>0</v>
      </c>
    </row>
    <row r="21" s="91" customFormat="1" ht="57" customHeight="1" spans="1:10">
      <c r="A21" s="100"/>
      <c r="B21" s="100"/>
      <c r="C21" s="117" t="s">
        <v>96</v>
      </c>
      <c r="D21" s="117">
        <v>4</v>
      </c>
      <c r="E21" s="118" t="s">
        <v>97</v>
      </c>
      <c r="F21" s="118" t="s">
        <v>98</v>
      </c>
      <c r="G21" s="120" t="s">
        <v>99</v>
      </c>
      <c r="H21" s="115">
        <v>4</v>
      </c>
      <c r="I21" s="118"/>
      <c r="J21" s="136">
        <f t="shared" si="0"/>
        <v>0</v>
      </c>
    </row>
    <row r="22" s="91" customFormat="1" ht="92.4" customHeight="1" spans="1:10">
      <c r="A22" s="121" t="s">
        <v>86</v>
      </c>
      <c r="B22" s="121" t="s">
        <v>100</v>
      </c>
      <c r="C22" s="112" t="s">
        <v>101</v>
      </c>
      <c r="D22" s="112">
        <v>5</v>
      </c>
      <c r="E22" s="101" t="s">
        <v>102</v>
      </c>
      <c r="F22" s="119" t="s">
        <v>103</v>
      </c>
      <c r="G22" s="119" t="s">
        <v>104</v>
      </c>
      <c r="H22" s="102">
        <v>5</v>
      </c>
      <c r="I22" s="118" t="s">
        <v>105</v>
      </c>
      <c r="J22" s="136">
        <f t="shared" si="0"/>
        <v>0</v>
      </c>
    </row>
    <row r="23" s="91" customFormat="1" ht="67.2" customHeight="1" spans="1:10">
      <c r="A23" s="122"/>
      <c r="B23" s="123"/>
      <c r="C23" s="110" t="s">
        <v>106</v>
      </c>
      <c r="D23" s="110">
        <v>4</v>
      </c>
      <c r="E23" s="124" t="s">
        <v>107</v>
      </c>
      <c r="F23" s="125" t="s">
        <v>108</v>
      </c>
      <c r="G23" s="125" t="s">
        <v>109</v>
      </c>
      <c r="H23" s="102">
        <v>3</v>
      </c>
      <c r="I23" s="118" t="s">
        <v>110</v>
      </c>
      <c r="J23" s="136">
        <f t="shared" si="0"/>
        <v>1</v>
      </c>
    </row>
    <row r="24" s="91" customFormat="1" ht="190.2" customHeight="1" spans="1:10">
      <c r="A24" s="122"/>
      <c r="B24" s="100" t="s">
        <v>111</v>
      </c>
      <c r="C24" s="126" t="s">
        <v>112</v>
      </c>
      <c r="D24" s="126">
        <v>4</v>
      </c>
      <c r="E24" s="127" t="s">
        <v>113</v>
      </c>
      <c r="F24" s="128" t="s">
        <v>114</v>
      </c>
      <c r="G24" s="101" t="s">
        <v>115</v>
      </c>
      <c r="H24" s="64">
        <v>2</v>
      </c>
      <c r="I24" s="118" t="s">
        <v>116</v>
      </c>
      <c r="J24" s="136">
        <f t="shared" si="0"/>
        <v>2</v>
      </c>
    </row>
    <row r="25" s="91" customFormat="1" ht="60.6" customHeight="1" spans="1:10">
      <c r="A25" s="122"/>
      <c r="B25" s="100" t="s">
        <v>117</v>
      </c>
      <c r="C25" s="117" t="s">
        <v>118</v>
      </c>
      <c r="D25" s="129">
        <v>3</v>
      </c>
      <c r="E25" s="130" t="s">
        <v>119</v>
      </c>
      <c r="F25" s="101" t="s">
        <v>120</v>
      </c>
      <c r="G25" s="101" t="s">
        <v>121</v>
      </c>
      <c r="H25" s="115">
        <v>3</v>
      </c>
      <c r="I25" s="118"/>
      <c r="J25" s="136">
        <f t="shared" si="0"/>
        <v>0</v>
      </c>
    </row>
    <row r="26" s="91" customFormat="1" ht="60.6" customHeight="1" spans="1:10">
      <c r="A26" s="123"/>
      <c r="B26" s="100"/>
      <c r="C26" s="117" t="s">
        <v>122</v>
      </c>
      <c r="D26" s="129">
        <v>3</v>
      </c>
      <c r="E26" s="130" t="s">
        <v>123</v>
      </c>
      <c r="F26" s="118" t="s">
        <v>124</v>
      </c>
      <c r="G26" s="118" t="s">
        <v>125</v>
      </c>
      <c r="H26" s="115">
        <v>3</v>
      </c>
      <c r="I26" s="118"/>
      <c r="J26" s="136">
        <f t="shared" si="0"/>
        <v>0</v>
      </c>
    </row>
    <row r="27" s="91" customFormat="1" ht="102" customHeight="1" spans="1:11">
      <c r="A27" s="100" t="s">
        <v>126</v>
      </c>
      <c r="B27" s="100" t="s">
        <v>127</v>
      </c>
      <c r="C27" s="129" t="s">
        <v>128</v>
      </c>
      <c r="D27" s="129">
        <v>4</v>
      </c>
      <c r="E27" s="131" t="s">
        <v>129</v>
      </c>
      <c r="F27" s="131" t="s">
        <v>130</v>
      </c>
      <c r="G27" s="101" t="s">
        <v>131</v>
      </c>
      <c r="H27" s="64">
        <f>2+(80%*0.3+73%*0.7)*2</f>
        <v>3.502</v>
      </c>
      <c r="I27" s="118" t="s">
        <v>132</v>
      </c>
      <c r="J27" s="136">
        <f t="shared" si="0"/>
        <v>0.498</v>
      </c>
      <c r="K27" s="91">
        <f>0.3*100+0.7*53.81</f>
        <v>67.667</v>
      </c>
    </row>
    <row r="28" s="91" customFormat="1" ht="88.2" customHeight="1" spans="1:11">
      <c r="A28" s="100"/>
      <c r="B28" s="100" t="s">
        <v>133</v>
      </c>
      <c r="C28" s="132" t="s">
        <v>134</v>
      </c>
      <c r="D28" s="112">
        <v>4</v>
      </c>
      <c r="E28" s="124" t="s">
        <v>135</v>
      </c>
      <c r="F28" s="132" t="s">
        <v>136</v>
      </c>
      <c r="G28" s="101" t="s">
        <v>137</v>
      </c>
      <c r="H28" s="64">
        <f>2+(70%*0.3+76%*0.7)*2</f>
        <v>3.484</v>
      </c>
      <c r="I28" s="118" t="s">
        <v>138</v>
      </c>
      <c r="J28" s="136">
        <f t="shared" si="0"/>
        <v>0.516</v>
      </c>
      <c r="K28" s="91">
        <f>0.7*0.3+0.76*0.7</f>
        <v>0.742</v>
      </c>
    </row>
    <row r="29" s="91" customFormat="1" ht="70.8" customHeight="1" spans="1:15">
      <c r="A29" s="100"/>
      <c r="B29" s="100"/>
      <c r="C29" s="132" t="s">
        <v>139</v>
      </c>
      <c r="D29" s="112">
        <v>4</v>
      </c>
      <c r="E29" s="124" t="s">
        <v>140</v>
      </c>
      <c r="F29" s="132" t="s">
        <v>141</v>
      </c>
      <c r="G29" s="105" t="s">
        <v>142</v>
      </c>
      <c r="H29" s="64">
        <f>(76%*0.3+69.5%*0.7)*4</f>
        <v>2.858</v>
      </c>
      <c r="I29" s="138" t="s">
        <v>143</v>
      </c>
      <c r="J29" s="136">
        <f t="shared" si="0"/>
        <v>1.142</v>
      </c>
      <c r="K29" s="91">
        <v>84.73</v>
      </c>
      <c r="L29" s="91">
        <v>72.95</v>
      </c>
      <c r="M29" s="91">
        <f>K29*0.3+L29*0.7</f>
        <v>76.484</v>
      </c>
      <c r="O29" s="91">
        <f>0.76*0.3+0.695*0.7</f>
        <v>0.7145</v>
      </c>
    </row>
    <row r="30" s="91" customFormat="1" ht="71.4" customHeight="1" spans="1:15">
      <c r="A30" s="100"/>
      <c r="B30" s="100"/>
      <c r="C30" s="100" t="s">
        <v>144</v>
      </c>
      <c r="D30" s="100">
        <v>3</v>
      </c>
      <c r="E30" s="131" t="s">
        <v>145</v>
      </c>
      <c r="F30" s="131" t="s">
        <v>146</v>
      </c>
      <c r="G30" s="131" t="s">
        <v>147</v>
      </c>
      <c r="H30" s="64">
        <f>(64%*0.3+62%*0.7)*3</f>
        <v>1.878</v>
      </c>
      <c r="I30" s="138" t="s">
        <v>148</v>
      </c>
      <c r="J30" s="136">
        <f t="shared" si="0"/>
        <v>1.122</v>
      </c>
      <c r="O30" s="139">
        <f>0.64*0.3+0.62*0.7</f>
        <v>0.626</v>
      </c>
    </row>
    <row r="31" s="91" customFormat="1" ht="61.8" customHeight="1" spans="1:13">
      <c r="A31" s="100" t="s">
        <v>126</v>
      </c>
      <c r="B31" s="100" t="s">
        <v>149</v>
      </c>
      <c r="C31" s="132" t="s">
        <v>150</v>
      </c>
      <c r="D31" s="112">
        <v>3</v>
      </c>
      <c r="E31" s="124" t="s">
        <v>151</v>
      </c>
      <c r="F31" s="124" t="s">
        <v>152</v>
      </c>
      <c r="G31" s="124" t="s">
        <v>153</v>
      </c>
      <c r="H31" s="67">
        <v>2.5</v>
      </c>
      <c r="I31" s="101" t="s">
        <v>154</v>
      </c>
      <c r="J31" s="136">
        <f t="shared" si="0"/>
        <v>0.5</v>
      </c>
      <c r="M31" s="91">
        <f t="shared" ref="M31:M32" si="1">K31*0.3+L31*0.7</f>
        <v>0</v>
      </c>
    </row>
    <row r="32" s="91" customFormat="1" ht="73.5" customHeight="1" spans="1:13">
      <c r="A32" s="100"/>
      <c r="B32" s="100"/>
      <c r="C32" s="132" t="s">
        <v>155</v>
      </c>
      <c r="D32" s="112">
        <v>2</v>
      </c>
      <c r="E32" s="124" t="s">
        <v>156</v>
      </c>
      <c r="F32" s="124" t="s">
        <v>157</v>
      </c>
      <c r="G32" s="124" t="s">
        <v>158</v>
      </c>
      <c r="H32" s="64">
        <f>75%*2</f>
        <v>1.5</v>
      </c>
      <c r="I32" s="138" t="s">
        <v>159</v>
      </c>
      <c r="J32" s="136">
        <f t="shared" si="0"/>
        <v>0.5</v>
      </c>
      <c r="K32" s="91">
        <v>87.14</v>
      </c>
      <c r="L32" s="91">
        <v>71.9</v>
      </c>
      <c r="M32" s="91">
        <f t="shared" si="1"/>
        <v>76.472</v>
      </c>
    </row>
    <row r="33" s="91" customFormat="1" ht="68.4" customHeight="1" spans="1:10">
      <c r="A33" s="100"/>
      <c r="B33" s="100" t="s">
        <v>160</v>
      </c>
      <c r="C33" s="100" t="s">
        <v>161</v>
      </c>
      <c r="D33" s="100">
        <v>3</v>
      </c>
      <c r="E33" s="132" t="s">
        <v>162</v>
      </c>
      <c r="F33" s="132" t="s">
        <v>163</v>
      </c>
      <c r="G33" s="101" t="s">
        <v>164</v>
      </c>
      <c r="H33" s="64">
        <f>78%*3</f>
        <v>2.34</v>
      </c>
      <c r="I33" s="118" t="s">
        <v>165</v>
      </c>
      <c r="J33" s="136">
        <f t="shared" si="0"/>
        <v>0.66</v>
      </c>
    </row>
    <row r="34" s="91" customFormat="1" ht="68.4" customHeight="1" spans="1:10">
      <c r="A34" s="100"/>
      <c r="B34" s="100"/>
      <c r="C34" s="100" t="s">
        <v>166</v>
      </c>
      <c r="D34" s="100">
        <v>7</v>
      </c>
      <c r="E34" s="132" t="s">
        <v>167</v>
      </c>
      <c r="F34" s="132" t="s">
        <v>168</v>
      </c>
      <c r="G34" s="101" t="s">
        <v>169</v>
      </c>
      <c r="H34" s="64">
        <f>7*74%</f>
        <v>5.18</v>
      </c>
      <c r="I34" s="118" t="s">
        <v>170</v>
      </c>
      <c r="J34" s="136">
        <f t="shared" si="0"/>
        <v>1.82</v>
      </c>
    </row>
    <row r="35" s="11" customFormat="1" ht="28.95" customHeight="1" spans="1:10">
      <c r="A35" s="19" t="s">
        <v>171</v>
      </c>
      <c r="B35" s="19"/>
      <c r="C35" s="19"/>
      <c r="D35" s="19">
        <f>SUM(D4:D34)</f>
        <v>100</v>
      </c>
      <c r="E35" s="19"/>
      <c r="F35" s="19"/>
      <c r="G35" s="19"/>
      <c r="H35" s="133">
        <f>SUM(H4:H34)</f>
        <v>83.242</v>
      </c>
      <c r="I35" s="140"/>
      <c r="J35" s="136">
        <f t="shared" si="0"/>
        <v>16.758</v>
      </c>
    </row>
    <row r="39" spans="8:8">
      <c r="H39" s="58"/>
    </row>
  </sheetData>
  <mergeCells count="21">
    <mergeCell ref="A1:B1"/>
    <mergeCell ref="A2:I2"/>
    <mergeCell ref="A35:C35"/>
    <mergeCell ref="A4:A9"/>
    <mergeCell ref="A10:A12"/>
    <mergeCell ref="A13:A18"/>
    <mergeCell ref="A19:A21"/>
    <mergeCell ref="A22:A26"/>
    <mergeCell ref="A27:A30"/>
    <mergeCell ref="A31:A34"/>
    <mergeCell ref="B4:B5"/>
    <mergeCell ref="B6:B7"/>
    <mergeCell ref="B8:B9"/>
    <mergeCell ref="B10:B12"/>
    <mergeCell ref="B14:B18"/>
    <mergeCell ref="B19:B21"/>
    <mergeCell ref="B22:B23"/>
    <mergeCell ref="B25:B26"/>
    <mergeCell ref="B28:B30"/>
    <mergeCell ref="B31:B32"/>
    <mergeCell ref="B33:B34"/>
  </mergeCells>
  <printOptions horizontalCentered="1"/>
  <pageMargins left="0.78740157480315" right="0.78740157480315" top="1.10236220472441" bottom="1.02362204724409" header="0.590551181102362" footer="0.590551181102362"/>
  <pageSetup paperSize="9" scale="54" fitToHeight="0" orientation="landscape"/>
  <headerFooter>
    <oddFooter>&amp;C&amp;"仿宋,常规"&amp;10第 &amp;P 页，共 &amp;N 页</oddFooter>
  </headerFooter>
  <ignoredErrors>
    <ignoredError sqref="H32:H35 D35 H27:H30"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9"/>
  <sheetViews>
    <sheetView view="pageBreakPreview" zoomScale="80" zoomScaleNormal="90" workbookViewId="0">
      <pane xSplit="2" ySplit="3" topLeftCell="F10" activePane="bottomRight" state="frozen"/>
      <selection/>
      <selection pane="topRight"/>
      <selection pane="bottomLeft"/>
      <selection pane="bottomRight" activeCell="H13" sqref="H13"/>
    </sheetView>
  </sheetViews>
  <sheetFormatPr defaultColWidth="9" defaultRowHeight="12"/>
  <cols>
    <col min="1" max="1" width="9" style="12" customWidth="1"/>
    <col min="2" max="2" width="10.4416666666667" style="13" customWidth="1"/>
    <col min="3" max="3" width="16.775" style="13" customWidth="1"/>
    <col min="4" max="4" width="5.44166666666667" style="13" customWidth="1"/>
    <col min="5" max="5" width="35.1083333333333" style="12" customWidth="1"/>
    <col min="6" max="6" width="62.775" style="12" customWidth="1"/>
    <col min="7" max="7" width="61.775" style="12" customWidth="1"/>
    <col min="8" max="8" width="8.33333333333333" style="14" customWidth="1"/>
    <col min="9" max="9" width="29.4416666666667" style="15" customWidth="1"/>
    <col min="10" max="10" width="7.44166666666667" style="15" customWidth="1"/>
    <col min="11" max="11" width="19.8833333333333" style="15" customWidth="1"/>
    <col min="12" max="12" width="9" style="12"/>
    <col min="13" max="13" width="22.8833333333333" style="12" customWidth="1"/>
    <col min="14" max="14" width="8.33333333333333" style="12" customWidth="1"/>
    <col min="15" max="15" width="26.1083333333333" style="12" customWidth="1"/>
    <col min="16" max="16" width="9" style="12"/>
    <col min="17" max="17" width="14.3333333333333" style="12" customWidth="1"/>
    <col min="18" max="18" width="9" style="12"/>
    <col min="19" max="19" width="16.3333333333333" style="12" customWidth="1"/>
    <col min="20" max="16384" width="9" style="12"/>
  </cols>
  <sheetData>
    <row r="1" ht="25.65" customHeight="1" spans="1:8">
      <c r="A1" s="16" t="s">
        <v>172</v>
      </c>
      <c r="B1" s="16"/>
      <c r="H1" s="17"/>
    </row>
    <row r="2" ht="34.65" customHeight="1" spans="1:31">
      <c r="A2" s="18" t="s">
        <v>173</v>
      </c>
      <c r="B2" s="18"/>
      <c r="C2" s="18"/>
      <c r="D2" s="18"/>
      <c r="E2" s="18"/>
      <c r="F2" s="18"/>
      <c r="G2" s="18"/>
      <c r="H2" s="18"/>
      <c r="I2" s="18"/>
      <c r="J2" s="59" t="s">
        <v>174</v>
      </c>
      <c r="K2" s="59"/>
      <c r="L2" s="59" t="s">
        <v>175</v>
      </c>
      <c r="M2" s="59"/>
      <c r="N2" s="59" t="s">
        <v>176</v>
      </c>
      <c r="O2" s="59"/>
      <c r="P2" s="59" t="s">
        <v>177</v>
      </c>
      <c r="Q2" s="59"/>
      <c r="R2" s="59" t="s">
        <v>178</v>
      </c>
      <c r="S2" s="59"/>
      <c r="T2" s="59" t="s">
        <v>179</v>
      </c>
      <c r="U2" s="59"/>
      <c r="V2" s="59" t="s">
        <v>180</v>
      </c>
      <c r="W2" s="59"/>
      <c r="X2" s="59" t="s">
        <v>181</v>
      </c>
      <c r="Y2" s="59"/>
      <c r="Z2" s="59" t="s">
        <v>182</v>
      </c>
      <c r="AA2" s="59"/>
      <c r="AB2" s="59" t="s">
        <v>183</v>
      </c>
      <c r="AC2" s="59"/>
      <c r="AD2" s="59" t="s">
        <v>184</v>
      </c>
      <c r="AE2" s="59"/>
    </row>
    <row r="3" ht="41.25" customHeight="1" spans="1:31">
      <c r="A3" s="19" t="s">
        <v>2</v>
      </c>
      <c r="B3" s="19" t="s">
        <v>3</v>
      </c>
      <c r="C3" s="19" t="s">
        <v>4</v>
      </c>
      <c r="D3" s="19" t="s">
        <v>5</v>
      </c>
      <c r="E3" s="19" t="s">
        <v>6</v>
      </c>
      <c r="F3" s="19" t="s">
        <v>7</v>
      </c>
      <c r="G3" s="19" t="s">
        <v>8</v>
      </c>
      <c r="H3" s="20" t="s">
        <v>9</v>
      </c>
      <c r="I3" s="20" t="s">
        <v>185</v>
      </c>
      <c r="J3" s="20" t="s">
        <v>9</v>
      </c>
      <c r="K3" s="20" t="s">
        <v>10</v>
      </c>
      <c r="L3" s="60" t="s">
        <v>9</v>
      </c>
      <c r="M3" s="20" t="s">
        <v>10</v>
      </c>
      <c r="N3" s="61" t="s">
        <v>9</v>
      </c>
      <c r="O3" s="20" t="s">
        <v>10</v>
      </c>
      <c r="P3" s="60" t="s">
        <v>9</v>
      </c>
      <c r="Q3" s="20" t="s">
        <v>10</v>
      </c>
      <c r="R3" s="60" t="s">
        <v>9</v>
      </c>
      <c r="S3" s="20" t="s">
        <v>10</v>
      </c>
      <c r="T3" s="60" t="s">
        <v>9</v>
      </c>
      <c r="U3" s="20" t="s">
        <v>10</v>
      </c>
      <c r="V3" s="60" t="s">
        <v>9</v>
      </c>
      <c r="W3" s="20" t="s">
        <v>10</v>
      </c>
      <c r="X3" s="73" t="s">
        <v>9</v>
      </c>
      <c r="Y3" s="78" t="s">
        <v>10</v>
      </c>
      <c r="Z3" s="60" t="s">
        <v>9</v>
      </c>
      <c r="AA3" s="20" t="s">
        <v>10</v>
      </c>
      <c r="AB3" s="60" t="s">
        <v>9</v>
      </c>
      <c r="AC3" s="20" t="s">
        <v>10</v>
      </c>
      <c r="AD3" s="60" t="s">
        <v>9</v>
      </c>
      <c r="AE3" s="20" t="s">
        <v>10</v>
      </c>
    </row>
    <row r="4" s="10" customFormat="1" ht="76.5" customHeight="1" spans="1:31">
      <c r="A4" s="21" t="s">
        <v>186</v>
      </c>
      <c r="B4" s="22" t="s">
        <v>187</v>
      </c>
      <c r="C4" s="23" t="s">
        <v>36</v>
      </c>
      <c r="D4" s="23">
        <v>2</v>
      </c>
      <c r="E4" s="24" t="s">
        <v>37</v>
      </c>
      <c r="F4" s="24" t="s">
        <v>38</v>
      </c>
      <c r="G4" s="25" t="s">
        <v>39</v>
      </c>
      <c r="H4" s="26">
        <f>((L4+N4+P4+R4+T4+V4+X4+Z4+AB4+AD4)/10)*0.7+J4*0.3</f>
        <v>2</v>
      </c>
      <c r="I4" s="41"/>
      <c r="J4" s="62">
        <v>2</v>
      </c>
      <c r="K4" s="43"/>
      <c r="L4" s="63">
        <v>2</v>
      </c>
      <c r="M4" s="41"/>
      <c r="N4" s="64">
        <v>2</v>
      </c>
      <c r="O4" s="41"/>
      <c r="P4" s="63">
        <v>2</v>
      </c>
      <c r="Q4" s="41"/>
      <c r="R4" s="63">
        <v>2</v>
      </c>
      <c r="S4" s="41"/>
      <c r="T4" s="63">
        <v>2</v>
      </c>
      <c r="U4" s="41"/>
      <c r="V4" s="63">
        <v>2</v>
      </c>
      <c r="W4" s="41"/>
      <c r="X4" s="66">
        <v>2</v>
      </c>
      <c r="Y4" s="79"/>
      <c r="Z4" s="80">
        <v>2</v>
      </c>
      <c r="AA4" s="29"/>
      <c r="AB4" s="63">
        <v>2</v>
      </c>
      <c r="AC4" s="41"/>
      <c r="AD4" s="63">
        <v>2</v>
      </c>
      <c r="AE4" s="41"/>
    </row>
    <row r="5" s="10" customFormat="1" ht="67.5" customHeight="1" spans="1:31">
      <c r="A5" s="27"/>
      <c r="B5" s="28"/>
      <c r="C5" s="29" t="s">
        <v>42</v>
      </c>
      <c r="D5" s="29">
        <v>1</v>
      </c>
      <c r="E5" s="30" t="s">
        <v>43</v>
      </c>
      <c r="F5" s="30" t="s">
        <v>44</v>
      </c>
      <c r="G5" s="30" t="s">
        <v>45</v>
      </c>
      <c r="H5" s="26">
        <f t="shared" ref="H5:H12" si="0">((L5+N5+P5+R5+T5+V5+X5+Z5+AB5+AD5)/10)*0.7+J5*0.3</f>
        <v>1</v>
      </c>
      <c r="I5" s="41"/>
      <c r="J5" s="62">
        <v>1</v>
      </c>
      <c r="K5" s="43"/>
      <c r="L5" s="63">
        <v>1</v>
      </c>
      <c r="M5" s="41"/>
      <c r="N5" s="64">
        <v>1</v>
      </c>
      <c r="O5" s="41"/>
      <c r="P5" s="63">
        <v>1</v>
      </c>
      <c r="Q5" s="41"/>
      <c r="R5" s="63">
        <v>1</v>
      </c>
      <c r="S5" s="41"/>
      <c r="T5" s="63">
        <v>1</v>
      </c>
      <c r="U5" s="41"/>
      <c r="V5" s="63">
        <v>1</v>
      </c>
      <c r="W5" s="41"/>
      <c r="X5" s="66">
        <v>1</v>
      </c>
      <c r="Y5" s="79"/>
      <c r="Z5" s="80">
        <v>1</v>
      </c>
      <c r="AA5" s="29"/>
      <c r="AB5" s="63">
        <v>1</v>
      </c>
      <c r="AC5" s="41"/>
      <c r="AD5" s="63">
        <v>1</v>
      </c>
      <c r="AE5" s="41"/>
    </row>
    <row r="6" s="10" customFormat="1" ht="80.25" customHeight="1" spans="1:31">
      <c r="A6" s="27"/>
      <c r="B6" s="28"/>
      <c r="C6" s="31" t="s">
        <v>46</v>
      </c>
      <c r="D6" s="31">
        <v>2</v>
      </c>
      <c r="E6" s="32" t="s">
        <v>47</v>
      </c>
      <c r="F6" s="32" t="s">
        <v>48</v>
      </c>
      <c r="G6" s="32" t="s">
        <v>49</v>
      </c>
      <c r="H6" s="26">
        <f t="shared" si="0"/>
        <v>1.694458</v>
      </c>
      <c r="I6" s="41"/>
      <c r="J6" s="62">
        <f>76.29%*2</f>
        <v>1.5258</v>
      </c>
      <c r="K6" s="44" t="s">
        <v>188</v>
      </c>
      <c r="L6" s="63">
        <f>94.5%*2</f>
        <v>1.89</v>
      </c>
      <c r="M6" s="44" t="s">
        <v>189</v>
      </c>
      <c r="N6" s="64">
        <f>2*0.65</f>
        <v>1.3</v>
      </c>
      <c r="O6" s="44" t="s">
        <v>190</v>
      </c>
      <c r="P6" s="63">
        <v>2</v>
      </c>
      <c r="Q6" s="44" t="s">
        <v>191</v>
      </c>
      <c r="R6" s="63">
        <v>2</v>
      </c>
      <c r="S6" s="44" t="s">
        <v>191</v>
      </c>
      <c r="T6" s="64">
        <f>92.9%*2</f>
        <v>1.858</v>
      </c>
      <c r="U6" s="44" t="s">
        <v>192</v>
      </c>
      <c r="V6" s="63">
        <f>89.12%*2</f>
        <v>1.7824</v>
      </c>
      <c r="W6" s="44" t="s">
        <v>193</v>
      </c>
      <c r="X6" s="66">
        <v>1.38</v>
      </c>
      <c r="Y6" s="81" t="s">
        <v>194</v>
      </c>
      <c r="Z6" s="80">
        <f>2*81.85%</f>
        <v>1.637</v>
      </c>
      <c r="AA6" s="82" t="s">
        <v>195</v>
      </c>
      <c r="AB6" s="63">
        <f>0.91*2</f>
        <v>1.82</v>
      </c>
      <c r="AC6" s="44" t="s">
        <v>196</v>
      </c>
      <c r="AD6" s="63">
        <v>2</v>
      </c>
      <c r="AE6" s="44" t="s">
        <v>197</v>
      </c>
    </row>
    <row r="7" s="10" customFormat="1" ht="92.25" customHeight="1" spans="1:31">
      <c r="A7" s="27"/>
      <c r="B7" s="28"/>
      <c r="C7" s="33" t="s">
        <v>51</v>
      </c>
      <c r="D7" s="33">
        <v>3</v>
      </c>
      <c r="E7" s="34" t="s">
        <v>52</v>
      </c>
      <c r="F7" s="34" t="s">
        <v>53</v>
      </c>
      <c r="G7" s="34" t="s">
        <v>54</v>
      </c>
      <c r="H7" s="26">
        <f t="shared" si="0"/>
        <v>1.315</v>
      </c>
      <c r="I7" s="42" t="s">
        <v>198</v>
      </c>
      <c r="J7" s="62">
        <v>1</v>
      </c>
      <c r="K7" s="44" t="s">
        <v>199</v>
      </c>
      <c r="L7" s="63">
        <v>3</v>
      </c>
      <c r="M7" s="42"/>
      <c r="N7" s="64">
        <v>1</v>
      </c>
      <c r="O7" s="42" t="s">
        <v>200</v>
      </c>
      <c r="P7" s="64">
        <v>1</v>
      </c>
      <c r="Q7" s="42" t="s">
        <v>201</v>
      </c>
      <c r="R7" s="64">
        <v>1</v>
      </c>
      <c r="S7" s="42" t="s">
        <v>202</v>
      </c>
      <c r="T7" s="64">
        <v>1.5</v>
      </c>
      <c r="U7" s="42" t="s">
        <v>203</v>
      </c>
      <c r="V7" s="64">
        <v>1</v>
      </c>
      <c r="W7" s="42" t="s">
        <v>204</v>
      </c>
      <c r="X7" s="66">
        <v>1</v>
      </c>
      <c r="Y7" s="83" t="s">
        <v>201</v>
      </c>
      <c r="Z7" s="84">
        <v>1</v>
      </c>
      <c r="AA7" s="30" t="s">
        <v>205</v>
      </c>
      <c r="AB7" s="63">
        <v>3</v>
      </c>
      <c r="AC7" s="42"/>
      <c r="AD7" s="85">
        <v>1</v>
      </c>
      <c r="AE7" s="42" t="s">
        <v>205</v>
      </c>
    </row>
    <row r="8" ht="100.5" customHeight="1" spans="1:31">
      <c r="A8" s="27"/>
      <c r="B8" s="35"/>
      <c r="C8" s="29" t="s">
        <v>56</v>
      </c>
      <c r="D8" s="29">
        <v>2</v>
      </c>
      <c r="E8" s="30" t="s">
        <v>206</v>
      </c>
      <c r="F8" s="30" t="s">
        <v>58</v>
      </c>
      <c r="G8" s="30" t="s">
        <v>59</v>
      </c>
      <c r="H8" s="26">
        <f t="shared" si="0"/>
        <v>1.755</v>
      </c>
      <c r="I8" s="42" t="s">
        <v>207</v>
      </c>
      <c r="J8" s="62">
        <v>2</v>
      </c>
      <c r="K8" s="44"/>
      <c r="L8" s="63">
        <v>2</v>
      </c>
      <c r="M8" s="42"/>
      <c r="N8" s="64">
        <v>2</v>
      </c>
      <c r="O8" s="42"/>
      <c r="P8" s="64">
        <v>1.5</v>
      </c>
      <c r="Q8" s="42" t="s">
        <v>208</v>
      </c>
      <c r="R8" s="64">
        <v>1.5</v>
      </c>
      <c r="S8" s="42" t="s">
        <v>209</v>
      </c>
      <c r="T8" s="64">
        <v>1</v>
      </c>
      <c r="U8" s="42" t="s">
        <v>210</v>
      </c>
      <c r="V8" s="64">
        <v>1.5</v>
      </c>
      <c r="W8" s="42" t="s">
        <v>208</v>
      </c>
      <c r="X8" s="67">
        <v>2</v>
      </c>
      <c r="Y8" s="30"/>
      <c r="Z8" s="63">
        <v>1.5</v>
      </c>
      <c r="AA8" s="42" t="s">
        <v>211</v>
      </c>
      <c r="AB8" s="63">
        <v>2</v>
      </c>
      <c r="AC8" s="42"/>
      <c r="AD8" s="63">
        <v>1.5</v>
      </c>
      <c r="AE8" s="42" t="s">
        <v>212</v>
      </c>
    </row>
    <row r="9" s="10" customFormat="1" ht="63" customHeight="1" spans="1:31">
      <c r="A9" s="27"/>
      <c r="B9" s="36" t="s">
        <v>213</v>
      </c>
      <c r="C9" s="29" t="s">
        <v>61</v>
      </c>
      <c r="D9" s="29">
        <v>3</v>
      </c>
      <c r="E9" s="30" t="s">
        <v>62</v>
      </c>
      <c r="F9" s="30" t="s">
        <v>63</v>
      </c>
      <c r="G9" s="30" t="s">
        <v>64</v>
      </c>
      <c r="H9" s="26">
        <f t="shared" si="0"/>
        <v>3</v>
      </c>
      <c r="I9" s="42"/>
      <c r="J9" s="65">
        <v>3</v>
      </c>
      <c r="K9" s="43"/>
      <c r="L9" s="66">
        <v>3</v>
      </c>
      <c r="M9" s="42"/>
      <c r="N9" s="67">
        <v>3</v>
      </c>
      <c r="O9" s="42"/>
      <c r="P9" s="66">
        <v>3</v>
      </c>
      <c r="Q9" s="42"/>
      <c r="R9" s="66">
        <v>3</v>
      </c>
      <c r="S9" s="42"/>
      <c r="T9" s="66">
        <v>3</v>
      </c>
      <c r="U9" s="42"/>
      <c r="V9" s="66">
        <v>3</v>
      </c>
      <c r="W9" s="42"/>
      <c r="X9" s="66">
        <v>3</v>
      </c>
      <c r="Y9" s="83"/>
      <c r="Z9" s="86">
        <v>3</v>
      </c>
      <c r="AA9" s="42"/>
      <c r="AB9" s="66">
        <v>3</v>
      </c>
      <c r="AC9" s="42"/>
      <c r="AD9" s="66">
        <v>3</v>
      </c>
      <c r="AE9" s="87"/>
    </row>
    <row r="10" s="10" customFormat="1" ht="111.75" customHeight="1" spans="1:31">
      <c r="A10" s="27"/>
      <c r="B10" s="36"/>
      <c r="C10" s="37" t="s">
        <v>66</v>
      </c>
      <c r="D10" s="37">
        <v>2</v>
      </c>
      <c r="E10" s="38" t="s">
        <v>67</v>
      </c>
      <c r="F10" s="38" t="s">
        <v>68</v>
      </c>
      <c r="G10" s="30" t="s">
        <v>69</v>
      </c>
      <c r="H10" s="26">
        <f t="shared" si="0"/>
        <v>2</v>
      </c>
      <c r="I10" s="41"/>
      <c r="J10" s="62">
        <v>2</v>
      </c>
      <c r="K10" s="43"/>
      <c r="L10" s="63">
        <v>2</v>
      </c>
      <c r="M10" s="41"/>
      <c r="N10" s="64">
        <v>2</v>
      </c>
      <c r="O10" s="41"/>
      <c r="P10" s="63">
        <v>2</v>
      </c>
      <c r="Q10" s="41"/>
      <c r="R10" s="63">
        <v>2</v>
      </c>
      <c r="S10" s="41"/>
      <c r="T10" s="63">
        <v>2</v>
      </c>
      <c r="U10" s="41"/>
      <c r="V10" s="63">
        <v>2</v>
      </c>
      <c r="W10" s="41"/>
      <c r="X10" s="66">
        <v>2</v>
      </c>
      <c r="Y10" s="79"/>
      <c r="Z10" s="63">
        <v>2</v>
      </c>
      <c r="AA10" s="41"/>
      <c r="AB10" s="63">
        <v>2</v>
      </c>
      <c r="AC10" s="41"/>
      <c r="AD10" s="80">
        <v>2</v>
      </c>
      <c r="AE10" s="88"/>
    </row>
    <row r="11" s="10" customFormat="1" ht="62.25" customHeight="1" spans="1:31">
      <c r="A11" s="27"/>
      <c r="B11" s="36"/>
      <c r="C11" s="29" t="s">
        <v>71</v>
      </c>
      <c r="D11" s="29">
        <v>1</v>
      </c>
      <c r="E11" s="30" t="s">
        <v>72</v>
      </c>
      <c r="F11" s="30" t="s">
        <v>73</v>
      </c>
      <c r="G11" s="30" t="s">
        <v>214</v>
      </c>
      <c r="H11" s="26">
        <f t="shared" si="0"/>
        <v>1</v>
      </c>
      <c r="I11" s="41"/>
      <c r="J11" s="62">
        <v>1</v>
      </c>
      <c r="K11" s="43"/>
      <c r="L11" s="63">
        <v>1</v>
      </c>
      <c r="M11" s="41"/>
      <c r="N11" s="64">
        <v>1</v>
      </c>
      <c r="O11" s="41"/>
      <c r="P11" s="63">
        <v>1</v>
      </c>
      <c r="Q11" s="41"/>
      <c r="R11" s="63">
        <v>1</v>
      </c>
      <c r="S11" s="41"/>
      <c r="T11" s="63">
        <v>1</v>
      </c>
      <c r="U11" s="41"/>
      <c r="V11" s="63">
        <v>1</v>
      </c>
      <c r="W11" s="41"/>
      <c r="X11" s="66">
        <v>1</v>
      </c>
      <c r="Y11" s="79"/>
      <c r="Z11" s="63">
        <v>1</v>
      </c>
      <c r="AA11" s="41"/>
      <c r="AB11" s="63">
        <v>1</v>
      </c>
      <c r="AC11" s="41"/>
      <c r="AD11" s="80">
        <v>1</v>
      </c>
      <c r="AE11" s="88"/>
    </row>
    <row r="12" s="10" customFormat="1" ht="114.75" customHeight="1" spans="1:31">
      <c r="A12" s="39"/>
      <c r="B12" s="36"/>
      <c r="C12" s="29" t="s">
        <v>81</v>
      </c>
      <c r="D12" s="29">
        <v>3</v>
      </c>
      <c r="E12" s="40" t="s">
        <v>215</v>
      </c>
      <c r="F12" s="30" t="s">
        <v>216</v>
      </c>
      <c r="G12" s="30" t="s">
        <v>217</v>
      </c>
      <c r="H12" s="26">
        <f t="shared" si="0"/>
        <v>1.79</v>
      </c>
      <c r="I12" s="42" t="s">
        <v>218</v>
      </c>
      <c r="J12" s="68">
        <v>2</v>
      </c>
      <c r="K12" s="44" t="s">
        <v>219</v>
      </c>
      <c r="L12" s="69">
        <v>0</v>
      </c>
      <c r="M12" s="42" t="s">
        <v>220</v>
      </c>
      <c r="N12" s="70">
        <v>2</v>
      </c>
      <c r="O12" s="42" t="s">
        <v>221</v>
      </c>
      <c r="P12" s="69">
        <v>2</v>
      </c>
      <c r="Q12" s="42" t="s">
        <v>222</v>
      </c>
      <c r="R12" s="69">
        <v>2</v>
      </c>
      <c r="S12" s="42" t="s">
        <v>223</v>
      </c>
      <c r="T12" s="69">
        <v>2</v>
      </c>
      <c r="U12" s="42" t="s">
        <v>224</v>
      </c>
      <c r="V12" s="69">
        <v>1.5</v>
      </c>
      <c r="W12" s="42" t="s">
        <v>225</v>
      </c>
      <c r="X12" s="74">
        <v>1.5</v>
      </c>
      <c r="Y12" s="83" t="s">
        <v>226</v>
      </c>
      <c r="Z12" s="70">
        <v>2</v>
      </c>
      <c r="AA12" s="42" t="s">
        <v>227</v>
      </c>
      <c r="AB12" s="70">
        <v>2</v>
      </c>
      <c r="AC12" s="30" t="s">
        <v>228</v>
      </c>
      <c r="AD12" s="70">
        <v>2</v>
      </c>
      <c r="AE12" s="42" t="s">
        <v>229</v>
      </c>
    </row>
    <row r="13" ht="78" customHeight="1" spans="1:31">
      <c r="A13" s="29" t="s">
        <v>86</v>
      </c>
      <c r="B13" s="29" t="s">
        <v>230</v>
      </c>
      <c r="C13" s="41" t="s">
        <v>231</v>
      </c>
      <c r="D13" s="41">
        <v>3.5</v>
      </c>
      <c r="E13" s="42" t="s">
        <v>232</v>
      </c>
      <c r="F13" s="42" t="s">
        <v>233</v>
      </c>
      <c r="G13" s="42" t="s">
        <v>234</v>
      </c>
      <c r="H13" s="26">
        <f>0.75+2</f>
        <v>2.75</v>
      </c>
      <c r="I13" s="42" t="s">
        <v>235</v>
      </c>
      <c r="J13" s="71">
        <v>0</v>
      </c>
      <c r="K13" s="44" t="s">
        <v>236</v>
      </c>
      <c r="L13" s="64">
        <v>3.5</v>
      </c>
      <c r="M13" s="41"/>
      <c r="N13" s="64">
        <v>2</v>
      </c>
      <c r="O13" s="42" t="s">
        <v>237</v>
      </c>
      <c r="P13" s="64">
        <v>2</v>
      </c>
      <c r="Q13" s="42" t="s">
        <v>238</v>
      </c>
      <c r="R13" s="64">
        <v>2</v>
      </c>
      <c r="S13" s="42" t="s">
        <v>239</v>
      </c>
      <c r="T13" s="64">
        <v>3.5</v>
      </c>
      <c r="U13" s="42" t="s">
        <v>240</v>
      </c>
      <c r="V13" s="64">
        <v>3.5</v>
      </c>
      <c r="W13" s="42" t="s">
        <v>241</v>
      </c>
      <c r="X13" s="66">
        <v>2</v>
      </c>
      <c r="Y13" s="83" t="s">
        <v>242</v>
      </c>
      <c r="Z13" s="64">
        <v>3.5</v>
      </c>
      <c r="AA13" s="42"/>
      <c r="AB13" s="64">
        <v>3.5</v>
      </c>
      <c r="AC13" s="41"/>
      <c r="AD13" s="64">
        <v>2</v>
      </c>
      <c r="AE13" s="42" t="s">
        <v>243</v>
      </c>
    </row>
    <row r="14" ht="73.5" customHeight="1" spans="1:31">
      <c r="A14" s="29"/>
      <c r="B14" s="29"/>
      <c r="C14" s="41" t="s">
        <v>244</v>
      </c>
      <c r="D14" s="41">
        <v>2</v>
      </c>
      <c r="E14" s="42" t="s">
        <v>245</v>
      </c>
      <c r="F14" s="42" t="s">
        <v>246</v>
      </c>
      <c r="G14" s="42" t="s">
        <v>247</v>
      </c>
      <c r="H14" s="26">
        <v>1.4</v>
      </c>
      <c r="I14" s="42" t="s">
        <v>248</v>
      </c>
      <c r="J14" s="71">
        <v>0</v>
      </c>
      <c r="K14" s="44" t="s">
        <v>249</v>
      </c>
      <c r="L14" s="64">
        <v>2</v>
      </c>
      <c r="M14" s="41"/>
      <c r="N14" s="64">
        <v>0</v>
      </c>
      <c r="O14" s="42" t="s">
        <v>250</v>
      </c>
      <c r="P14" s="64">
        <v>0</v>
      </c>
      <c r="Q14" s="42" t="s">
        <v>251</v>
      </c>
      <c r="R14" s="64">
        <v>2</v>
      </c>
      <c r="S14" s="42"/>
      <c r="T14" s="64">
        <v>2</v>
      </c>
      <c r="U14" s="42" t="s">
        <v>252</v>
      </c>
      <c r="V14" s="64">
        <v>0</v>
      </c>
      <c r="W14" s="42" t="s">
        <v>253</v>
      </c>
      <c r="X14" s="66">
        <v>2</v>
      </c>
      <c r="Y14" s="83"/>
      <c r="Z14" s="64">
        <v>2</v>
      </c>
      <c r="AA14" s="41"/>
      <c r="AB14" s="64">
        <v>2</v>
      </c>
      <c r="AC14" s="41" t="s">
        <v>254</v>
      </c>
      <c r="AD14" s="64">
        <v>2</v>
      </c>
      <c r="AE14" s="41"/>
    </row>
    <row r="15" ht="67.5" customHeight="1" spans="1:31">
      <c r="A15" s="29"/>
      <c r="B15" s="29"/>
      <c r="C15" s="41" t="s">
        <v>255</v>
      </c>
      <c r="D15" s="41">
        <v>2</v>
      </c>
      <c r="E15" s="42" t="s">
        <v>256</v>
      </c>
      <c r="F15" s="42" t="s">
        <v>257</v>
      </c>
      <c r="G15" s="42" t="s">
        <v>258</v>
      </c>
      <c r="H15" s="90">
        <f>1.6+0.5</f>
        <v>2.1</v>
      </c>
      <c r="I15" s="42" t="s">
        <v>259</v>
      </c>
      <c r="J15" s="71">
        <v>0.5</v>
      </c>
      <c r="K15" s="44" t="s">
        <v>260</v>
      </c>
      <c r="L15" s="64">
        <v>1.5</v>
      </c>
      <c r="M15" s="42" t="s">
        <v>261</v>
      </c>
      <c r="N15" s="64">
        <v>0.5</v>
      </c>
      <c r="O15" s="42" t="s">
        <v>262</v>
      </c>
      <c r="P15" s="64">
        <v>0.5</v>
      </c>
      <c r="Q15" s="42" t="s">
        <v>263</v>
      </c>
      <c r="R15" s="64">
        <v>1.5</v>
      </c>
      <c r="S15" s="42" t="s">
        <v>264</v>
      </c>
      <c r="T15" s="64">
        <v>2</v>
      </c>
      <c r="U15" s="42" t="s">
        <v>265</v>
      </c>
      <c r="V15" s="64">
        <v>2</v>
      </c>
      <c r="W15" s="42" t="s">
        <v>266</v>
      </c>
      <c r="X15" s="66">
        <v>2</v>
      </c>
      <c r="Y15" s="83" t="s">
        <v>267</v>
      </c>
      <c r="Z15" s="64">
        <v>2</v>
      </c>
      <c r="AA15" s="41"/>
      <c r="AB15" s="64">
        <v>2</v>
      </c>
      <c r="AC15" s="41" t="s">
        <v>268</v>
      </c>
      <c r="AD15" s="64">
        <v>2</v>
      </c>
      <c r="AE15" s="41"/>
    </row>
    <row r="16" ht="65.25" customHeight="1" spans="1:31">
      <c r="A16" s="29"/>
      <c r="B16" s="29" t="s">
        <v>269</v>
      </c>
      <c r="C16" s="41" t="s">
        <v>270</v>
      </c>
      <c r="D16" s="41">
        <v>4</v>
      </c>
      <c r="E16" s="42" t="s">
        <v>271</v>
      </c>
      <c r="F16" s="42" t="s">
        <v>272</v>
      </c>
      <c r="G16" s="42" t="s">
        <v>273</v>
      </c>
      <c r="H16" s="26"/>
      <c r="I16" s="41"/>
      <c r="J16" s="62">
        <v>2</v>
      </c>
      <c r="K16" s="43"/>
      <c r="L16" s="63">
        <f>2+((0.91*0.4+0.64*0.6)*2)</f>
        <v>3.496</v>
      </c>
      <c r="M16" s="42" t="s">
        <v>274</v>
      </c>
      <c r="N16" s="64">
        <f>2+((0.91*0.4+0.73*0.6)*2)</f>
        <v>3.604</v>
      </c>
      <c r="O16" s="42" t="s">
        <v>275</v>
      </c>
      <c r="P16" s="63">
        <f>2+((0.7818*0.4+0.67*0.6)*2)</f>
        <v>3.42944</v>
      </c>
      <c r="Q16" s="42" t="s">
        <v>276</v>
      </c>
      <c r="R16" s="63">
        <f>2+((0.97*0.4+0.565*0.6)*2)</f>
        <v>3.454</v>
      </c>
      <c r="S16" s="42" t="s">
        <v>277</v>
      </c>
      <c r="T16" s="75">
        <f>2+((1*0.4+0.715*0.6)*2)</f>
        <v>3.658</v>
      </c>
      <c r="U16" s="42" t="s">
        <v>278</v>
      </c>
      <c r="V16" s="63">
        <f>2+((0.7*0.4+0.655*0.6)*2)</f>
        <v>3.346</v>
      </c>
      <c r="W16" s="42" t="s">
        <v>279</v>
      </c>
      <c r="X16" s="66">
        <f>2+((0.76*0.4+0.685*0.6)*2)</f>
        <v>3.43</v>
      </c>
      <c r="Y16" s="83" t="s">
        <v>280</v>
      </c>
      <c r="Z16" s="63">
        <f>2+2*0.4*85%+2*0.6*89.5%</f>
        <v>3.754</v>
      </c>
      <c r="AA16" s="42" t="s">
        <v>281</v>
      </c>
      <c r="AB16" s="63">
        <f>2+2*0.4*91%+2*0.6*67%</f>
        <v>3.532</v>
      </c>
      <c r="AC16" s="87" t="s">
        <v>282</v>
      </c>
      <c r="AD16" s="80">
        <f>2+2*0.4*91%+2*0.6*71%</f>
        <v>3.58</v>
      </c>
      <c r="AE16" s="30" t="s">
        <v>283</v>
      </c>
    </row>
    <row r="17" ht="60" customHeight="1" spans="1:31">
      <c r="A17" s="29"/>
      <c r="B17" s="29"/>
      <c r="C17" s="41" t="s">
        <v>284</v>
      </c>
      <c r="D17" s="41">
        <v>4</v>
      </c>
      <c r="E17" s="42" t="s">
        <v>285</v>
      </c>
      <c r="F17" s="42" t="s">
        <v>286</v>
      </c>
      <c r="G17" s="30" t="s">
        <v>287</v>
      </c>
      <c r="H17" s="26">
        <v>3.99</v>
      </c>
      <c r="I17" s="42" t="s">
        <v>288</v>
      </c>
      <c r="J17" s="62">
        <v>4</v>
      </c>
      <c r="K17" s="43"/>
      <c r="L17" s="63">
        <v>4</v>
      </c>
      <c r="M17" s="42" t="s">
        <v>289</v>
      </c>
      <c r="N17" s="64">
        <v>4</v>
      </c>
      <c r="O17" s="42"/>
      <c r="P17" s="64">
        <v>4</v>
      </c>
      <c r="Q17" s="42"/>
      <c r="R17" s="64">
        <v>4</v>
      </c>
      <c r="S17" s="42"/>
      <c r="T17" s="64">
        <v>4</v>
      </c>
      <c r="U17" s="42"/>
      <c r="V17" s="64">
        <v>4</v>
      </c>
      <c r="W17" s="42"/>
      <c r="X17" s="66">
        <f>4*100%</f>
        <v>4</v>
      </c>
      <c r="Y17" s="83"/>
      <c r="Z17" s="63">
        <v>4</v>
      </c>
      <c r="AA17" s="42" t="s">
        <v>290</v>
      </c>
      <c r="AB17" s="63">
        <f>54/55*4</f>
        <v>3.92727272727273</v>
      </c>
      <c r="AC17" s="42" t="s">
        <v>291</v>
      </c>
      <c r="AD17" s="63">
        <v>4</v>
      </c>
      <c r="AE17" s="42" t="s">
        <v>292</v>
      </c>
    </row>
    <row r="18" ht="60" customHeight="1" spans="1:31">
      <c r="A18" s="29"/>
      <c r="B18" s="29"/>
      <c r="C18" s="43" t="s">
        <v>293</v>
      </c>
      <c r="D18" s="43">
        <v>3</v>
      </c>
      <c r="E18" s="44" t="s">
        <v>294</v>
      </c>
      <c r="F18" s="45" t="s">
        <v>295</v>
      </c>
      <c r="G18" s="30" t="s">
        <v>296</v>
      </c>
      <c r="H18" s="26">
        <v>3</v>
      </c>
      <c r="I18" s="42" t="s">
        <v>297</v>
      </c>
      <c r="J18" s="62">
        <v>3</v>
      </c>
      <c r="K18" s="43"/>
      <c r="L18" s="63">
        <v>3</v>
      </c>
      <c r="M18" s="42" t="s">
        <v>298</v>
      </c>
      <c r="N18" s="64">
        <v>3</v>
      </c>
      <c r="O18" s="42"/>
      <c r="P18" s="64">
        <v>3</v>
      </c>
      <c r="Q18" s="42" t="s">
        <v>299</v>
      </c>
      <c r="R18" s="64">
        <v>3</v>
      </c>
      <c r="S18" s="42"/>
      <c r="T18" s="64">
        <v>3</v>
      </c>
      <c r="U18" s="30" t="s">
        <v>300</v>
      </c>
      <c r="V18" s="64">
        <v>3</v>
      </c>
      <c r="W18" s="42" t="s">
        <v>301</v>
      </c>
      <c r="X18" s="66">
        <v>3</v>
      </c>
      <c r="Y18" s="83" t="s">
        <v>302</v>
      </c>
      <c r="Z18" s="63">
        <v>3</v>
      </c>
      <c r="AA18" s="42" t="s">
        <v>303</v>
      </c>
      <c r="AB18" s="63">
        <v>3</v>
      </c>
      <c r="AC18" s="42" t="s">
        <v>298</v>
      </c>
      <c r="AD18" s="63">
        <f>(1-10/53)*3</f>
        <v>2.43396226415094</v>
      </c>
      <c r="AE18" s="42" t="s">
        <v>304</v>
      </c>
    </row>
    <row r="19" ht="72" customHeight="1" spans="1:31">
      <c r="A19" s="29"/>
      <c r="B19" s="29" t="s">
        <v>305</v>
      </c>
      <c r="C19" s="41" t="s">
        <v>306</v>
      </c>
      <c r="D19" s="41">
        <v>3</v>
      </c>
      <c r="E19" s="42" t="s">
        <v>307</v>
      </c>
      <c r="F19" s="42" t="s">
        <v>308</v>
      </c>
      <c r="G19" s="42" t="s">
        <v>309</v>
      </c>
      <c r="H19" s="26">
        <f>3*66.67%</f>
        <v>2.0001</v>
      </c>
      <c r="I19" s="42" t="s">
        <v>310</v>
      </c>
      <c r="J19" s="41"/>
      <c r="K19" s="41"/>
      <c r="L19" s="63">
        <v>3</v>
      </c>
      <c r="M19" s="41"/>
      <c r="N19" s="64">
        <v>0</v>
      </c>
      <c r="O19" s="42" t="s">
        <v>311</v>
      </c>
      <c r="P19" s="64">
        <v>3</v>
      </c>
      <c r="Q19" s="41"/>
      <c r="R19" s="64">
        <v>3</v>
      </c>
      <c r="S19" s="41"/>
      <c r="T19" s="64">
        <v>3</v>
      </c>
      <c r="U19" s="41"/>
      <c r="V19" s="64">
        <v>3</v>
      </c>
      <c r="W19" s="41"/>
      <c r="X19" s="66">
        <v>3</v>
      </c>
      <c r="Y19" s="79"/>
      <c r="Z19" s="63">
        <v>3</v>
      </c>
      <c r="AA19" s="42"/>
      <c r="AB19" s="63">
        <v>3</v>
      </c>
      <c r="AC19" s="41" t="s">
        <v>312</v>
      </c>
      <c r="AD19" s="80">
        <v>3</v>
      </c>
      <c r="AE19" s="30" t="s">
        <v>312</v>
      </c>
    </row>
    <row r="20" ht="68.25" customHeight="1" spans="1:31">
      <c r="A20" s="46" t="s">
        <v>126</v>
      </c>
      <c r="B20" s="29" t="s">
        <v>313</v>
      </c>
      <c r="C20" s="29" t="s">
        <v>314</v>
      </c>
      <c r="D20" s="29">
        <v>3</v>
      </c>
      <c r="E20" s="47" t="s">
        <v>315</v>
      </c>
      <c r="F20" s="48" t="s">
        <v>316</v>
      </c>
      <c r="G20" s="49" t="s">
        <v>317</v>
      </c>
      <c r="H20" s="26"/>
      <c r="I20" s="42"/>
      <c r="J20" s="42"/>
      <c r="K20" s="42"/>
      <c r="L20" s="63">
        <f>(91%*0.4+41.33%*0.6)*3</f>
        <v>1.83594</v>
      </c>
      <c r="M20" s="42" t="s">
        <v>318</v>
      </c>
      <c r="N20" s="64">
        <f>(76%*0.4+56%*0.6)*3</f>
        <v>1.92</v>
      </c>
      <c r="O20" s="42" t="s">
        <v>319</v>
      </c>
      <c r="P20" s="63">
        <f>(65.45%*0.4+38%*0.6)*3</f>
        <v>1.4694</v>
      </c>
      <c r="Q20" s="42" t="s">
        <v>320</v>
      </c>
      <c r="R20" s="63">
        <f>(82%*0.4+21%*0.6)*3</f>
        <v>1.362</v>
      </c>
      <c r="S20" s="42" t="s">
        <v>321</v>
      </c>
      <c r="T20" s="76">
        <f>(100%*0.4+42%*0.6)*3</f>
        <v>1.956</v>
      </c>
      <c r="U20" s="42" t="s">
        <v>322</v>
      </c>
      <c r="V20" s="63">
        <f>(75%*0.4+48.5%*0.6)*3</f>
        <v>1.773</v>
      </c>
      <c r="W20" s="42" t="s">
        <v>323</v>
      </c>
      <c r="X20" s="66">
        <f>(76%*0.4+36.5%*0.6)*3</f>
        <v>1.569</v>
      </c>
      <c r="Y20" s="83" t="s">
        <v>324</v>
      </c>
      <c r="Z20" s="63">
        <f>3*0.4*76%+3*0.6*78.5%</f>
        <v>2.325</v>
      </c>
      <c r="AA20" s="42" t="s">
        <v>325</v>
      </c>
      <c r="AB20" s="63">
        <f>3*0.4*88%+3*0.6*58.75%</f>
        <v>2.1135</v>
      </c>
      <c r="AC20" s="42" t="s">
        <v>326</v>
      </c>
      <c r="AD20" s="63">
        <f>3*0.4*76%+3*0.6*49.5%</f>
        <v>1.803</v>
      </c>
      <c r="AE20" s="42" t="s">
        <v>327</v>
      </c>
    </row>
    <row r="21" ht="68.25" customHeight="1" spans="1:31">
      <c r="A21" s="50"/>
      <c r="B21" s="29"/>
      <c r="C21" s="51" t="s">
        <v>328</v>
      </c>
      <c r="D21" s="51">
        <v>3</v>
      </c>
      <c r="E21" s="47" t="s">
        <v>329</v>
      </c>
      <c r="F21" s="52" t="s">
        <v>330</v>
      </c>
      <c r="G21" s="30" t="s">
        <v>317</v>
      </c>
      <c r="H21" s="26"/>
      <c r="I21" s="42"/>
      <c r="J21" s="42"/>
      <c r="K21" s="42"/>
      <c r="L21" s="63">
        <f>(94%*0.4+68.67%*0.6)*3</f>
        <v>2.36406</v>
      </c>
      <c r="M21" s="42" t="s">
        <v>331</v>
      </c>
      <c r="N21" s="64">
        <f>(88%*0.4+76%*0.6)*3</f>
        <v>2.424</v>
      </c>
      <c r="O21" s="42" t="s">
        <v>332</v>
      </c>
      <c r="P21" s="63">
        <f>(78.18%*0.4+65.5%*0.6)*3</f>
        <v>2.11716</v>
      </c>
      <c r="Q21" s="42" t="s">
        <v>333</v>
      </c>
      <c r="R21" s="63">
        <f>(100%*0.4+67%*0.6)*3</f>
        <v>2.406</v>
      </c>
      <c r="S21" s="42" t="s">
        <v>334</v>
      </c>
      <c r="T21" s="63">
        <f>(100%*0.4+71.5%*0.6)*3</f>
        <v>2.487</v>
      </c>
      <c r="U21" s="42" t="s">
        <v>335</v>
      </c>
      <c r="V21" s="63">
        <f>(58%*0.4+76%*0.6)*3</f>
        <v>2.064</v>
      </c>
      <c r="W21" s="42" t="s">
        <v>336</v>
      </c>
      <c r="X21" s="66">
        <f>(82%*0.4+74.5%*0.6)*3</f>
        <v>2.325</v>
      </c>
      <c r="Y21" s="83" t="s">
        <v>337</v>
      </c>
      <c r="Z21" s="63">
        <f>3*0.4*85%+3*0.6*91%</f>
        <v>2.658</v>
      </c>
      <c r="AA21" s="42" t="s">
        <v>338</v>
      </c>
      <c r="AB21" s="63">
        <f>3*0.4*97%+3*0.6*77.5%</f>
        <v>2.559</v>
      </c>
      <c r="AC21" s="42" t="s">
        <v>339</v>
      </c>
      <c r="AD21" s="63">
        <f>3*0.4*94%+3*0.6*80.5%</f>
        <v>2.577</v>
      </c>
      <c r="AE21" s="42" t="s">
        <v>340</v>
      </c>
    </row>
    <row r="22" ht="68.25" customHeight="1" spans="1:31">
      <c r="A22" s="50"/>
      <c r="B22" s="29"/>
      <c r="C22" s="51" t="s">
        <v>341</v>
      </c>
      <c r="D22" s="51">
        <v>2</v>
      </c>
      <c r="E22" s="47" t="s">
        <v>342</v>
      </c>
      <c r="F22" s="52" t="s">
        <v>330</v>
      </c>
      <c r="G22" s="30" t="s">
        <v>343</v>
      </c>
      <c r="H22" s="26"/>
      <c r="I22" s="42"/>
      <c r="J22" s="42"/>
      <c r="K22" s="42"/>
      <c r="L22" s="63">
        <f>97%*2</f>
        <v>1.94</v>
      </c>
      <c r="M22" s="42" t="s">
        <v>344</v>
      </c>
      <c r="N22" s="64">
        <f>94%*2</f>
        <v>1.88</v>
      </c>
      <c r="O22" s="42" t="s">
        <v>345</v>
      </c>
      <c r="P22" s="63">
        <f>80.91%*2</f>
        <v>1.6182</v>
      </c>
      <c r="Q22" s="42" t="s">
        <v>346</v>
      </c>
      <c r="R22" s="63">
        <f>100%*2</f>
        <v>2</v>
      </c>
      <c r="S22" s="42" t="s">
        <v>347</v>
      </c>
      <c r="T22" s="76">
        <f>100%*2</f>
        <v>2</v>
      </c>
      <c r="U22" s="42" t="s">
        <v>348</v>
      </c>
      <c r="V22" s="63">
        <f>67%*2</f>
        <v>1.34</v>
      </c>
      <c r="W22" s="42" t="s">
        <v>349</v>
      </c>
      <c r="X22" s="66">
        <f>82%*2</f>
        <v>1.64</v>
      </c>
      <c r="Y22" s="83" t="s">
        <v>350</v>
      </c>
      <c r="Z22" s="63">
        <f>85%*2</f>
        <v>1.7</v>
      </c>
      <c r="AA22" s="42" t="s">
        <v>351</v>
      </c>
      <c r="AB22" s="63">
        <f>94%*2</f>
        <v>1.88</v>
      </c>
      <c r="AC22" s="42" t="s">
        <v>352</v>
      </c>
      <c r="AD22" s="63">
        <f>94%*2</f>
        <v>1.88</v>
      </c>
      <c r="AE22" s="42" t="s">
        <v>353</v>
      </c>
    </row>
    <row r="23" ht="90" customHeight="1" spans="1:31">
      <c r="A23" s="53"/>
      <c r="B23" s="29" t="s">
        <v>354</v>
      </c>
      <c r="C23" s="43" t="s">
        <v>355</v>
      </c>
      <c r="D23" s="54">
        <v>5</v>
      </c>
      <c r="E23" s="47" t="s">
        <v>356</v>
      </c>
      <c r="F23" s="25" t="s">
        <v>357</v>
      </c>
      <c r="G23" s="55" t="s">
        <v>358</v>
      </c>
      <c r="H23" s="26"/>
      <c r="I23" s="42"/>
      <c r="J23" s="42"/>
      <c r="K23" s="42"/>
      <c r="L23" s="63">
        <f>2+((94%*0.4+72%*0.6)*1)</f>
        <v>2.808</v>
      </c>
      <c r="M23" s="42" t="s">
        <v>359</v>
      </c>
      <c r="N23" s="64">
        <f>0+((91%*0.4+76%*0.6)*1)</f>
        <v>0.82</v>
      </c>
      <c r="O23" s="42" t="s">
        <v>360</v>
      </c>
      <c r="P23" s="63">
        <f>0+((72.73%*0.4+68.5%*0.6)*1)</f>
        <v>0.70192</v>
      </c>
      <c r="Q23" s="42" t="s">
        <v>361</v>
      </c>
      <c r="R23" s="63">
        <f>2+((97%*0.4+62.5%*0.6)*1)</f>
        <v>2.763</v>
      </c>
      <c r="S23" s="77" t="s">
        <v>362</v>
      </c>
      <c r="T23" s="76">
        <f>0+100%*0.4+69.5%*0.6</f>
        <v>0.817</v>
      </c>
      <c r="U23" s="42" t="s">
        <v>363</v>
      </c>
      <c r="V23" s="63">
        <f>2+49%*0.4+68.5%*0.6</f>
        <v>2.607</v>
      </c>
      <c r="W23" s="42" t="s">
        <v>364</v>
      </c>
      <c r="X23" s="66">
        <f>0+((82%*0.4+73%*0.6)*1)</f>
        <v>0.766</v>
      </c>
      <c r="Y23" s="83" t="s">
        <v>365</v>
      </c>
      <c r="Z23" s="63">
        <f>0.4*0.85+0.6*0.895</f>
        <v>0.877</v>
      </c>
      <c r="AA23" s="42" t="s">
        <v>366</v>
      </c>
      <c r="AB23" s="63">
        <f>0.4*0.91+0.6*0.745</f>
        <v>0.811</v>
      </c>
      <c r="AC23" s="42" t="s">
        <v>367</v>
      </c>
      <c r="AD23" s="63">
        <f>0.4*0.88+0.6*0.76</f>
        <v>0.808</v>
      </c>
      <c r="AE23" s="42" t="s">
        <v>368</v>
      </c>
    </row>
    <row r="24" ht="66.75" customHeight="1" spans="1:31">
      <c r="A24" s="46" t="s">
        <v>126</v>
      </c>
      <c r="B24" s="46" t="s">
        <v>354</v>
      </c>
      <c r="C24" s="43" t="s">
        <v>369</v>
      </c>
      <c r="D24" s="54">
        <v>2</v>
      </c>
      <c r="E24" s="47" t="s">
        <v>370</v>
      </c>
      <c r="F24" s="25" t="s">
        <v>371</v>
      </c>
      <c r="G24" s="55" t="s">
        <v>372</v>
      </c>
      <c r="H24" s="26"/>
      <c r="I24" s="42"/>
      <c r="J24" s="62"/>
      <c r="K24" s="43"/>
      <c r="L24" s="63">
        <f>71.67%*2</f>
        <v>1.4334</v>
      </c>
      <c r="M24" s="42" t="s">
        <v>373</v>
      </c>
      <c r="N24" s="64">
        <f>2*67.5%</f>
        <v>1.35</v>
      </c>
      <c r="O24" s="42" t="s">
        <v>374</v>
      </c>
      <c r="P24" s="63">
        <f>2*55%</f>
        <v>1.1</v>
      </c>
      <c r="Q24" s="42" t="s">
        <v>375</v>
      </c>
      <c r="R24" s="63">
        <f>2*75%</f>
        <v>1.5</v>
      </c>
      <c r="S24" s="42" t="s">
        <v>376</v>
      </c>
      <c r="T24" s="63">
        <f>2*67.5%</f>
        <v>1.35</v>
      </c>
      <c r="U24" s="42" t="s">
        <v>377</v>
      </c>
      <c r="V24" s="63">
        <f>2*60%</f>
        <v>1.2</v>
      </c>
      <c r="W24" s="42" t="s">
        <v>378</v>
      </c>
      <c r="X24" s="66">
        <f>2*72.5%</f>
        <v>1.45</v>
      </c>
      <c r="Y24" s="83" t="s">
        <v>379</v>
      </c>
      <c r="Z24" s="63">
        <f>72.5%*2</f>
        <v>1.45</v>
      </c>
      <c r="AA24" s="42" t="s">
        <v>380</v>
      </c>
      <c r="AB24" s="63">
        <f>82.5%*2</f>
        <v>1.65</v>
      </c>
      <c r="AC24" s="42" t="s">
        <v>381</v>
      </c>
      <c r="AD24" s="63">
        <f>80%*2</f>
        <v>1.6</v>
      </c>
      <c r="AE24" s="42" t="s">
        <v>382</v>
      </c>
    </row>
    <row r="25" ht="73.5" customHeight="1" spans="1:31">
      <c r="A25" s="50"/>
      <c r="B25" s="53"/>
      <c r="C25" s="43" t="s">
        <v>383</v>
      </c>
      <c r="D25" s="54">
        <v>3</v>
      </c>
      <c r="E25" s="47" t="s">
        <v>370</v>
      </c>
      <c r="F25" s="25" t="s">
        <v>384</v>
      </c>
      <c r="G25" s="55" t="s">
        <v>385</v>
      </c>
      <c r="H25" s="26"/>
      <c r="I25" s="42"/>
      <c r="J25" s="42"/>
      <c r="K25" s="42"/>
      <c r="L25" s="63">
        <f>(94%*0.4+73%*0.6)*3</f>
        <v>2.442</v>
      </c>
      <c r="M25" s="42" t="s">
        <v>386</v>
      </c>
      <c r="N25" s="64">
        <f>(88%*0.4+74.5%*0.6)*3</f>
        <v>2.397</v>
      </c>
      <c r="O25" s="42" t="s">
        <v>387</v>
      </c>
      <c r="P25" s="63">
        <f>(83.64%*0.4+68%*0.6)*3</f>
        <v>2.22768</v>
      </c>
      <c r="Q25" s="42" t="s">
        <v>388</v>
      </c>
      <c r="R25" s="63">
        <f>(97%*0.4+65.5%*0.6)*3</f>
        <v>2.343</v>
      </c>
      <c r="S25" s="42" t="s">
        <v>389</v>
      </c>
      <c r="T25" s="63">
        <f>(100%*0.4+67%*0.6)*3</f>
        <v>2.406</v>
      </c>
      <c r="U25" s="42" t="s">
        <v>390</v>
      </c>
      <c r="V25" s="63">
        <f>(55%*0.4+67%*0.6)*3</f>
        <v>1.866</v>
      </c>
      <c r="W25" s="42" t="s">
        <v>391</v>
      </c>
      <c r="X25" s="66">
        <f>(85%*0.4+68.5%*0.6)*3</f>
        <v>2.253</v>
      </c>
      <c r="Y25" s="83" t="s">
        <v>392</v>
      </c>
      <c r="Z25" s="63">
        <f>3*40%*88%+3*60%*89.5%</f>
        <v>2.667</v>
      </c>
      <c r="AA25" s="42" t="s">
        <v>393</v>
      </c>
      <c r="AB25" s="63">
        <f>3*40%*94%+3*60%*67%</f>
        <v>2.334</v>
      </c>
      <c r="AC25" s="42" t="s">
        <v>394</v>
      </c>
      <c r="AD25" s="63">
        <f>3*40%*82%+3*60%*78.5%</f>
        <v>2.397</v>
      </c>
      <c r="AE25" s="42" t="s">
        <v>395</v>
      </c>
    </row>
    <row r="26" ht="57" customHeight="1" spans="1:31">
      <c r="A26" s="50"/>
      <c r="B26" s="29" t="s">
        <v>160</v>
      </c>
      <c r="C26" s="29" t="s">
        <v>161</v>
      </c>
      <c r="D26" s="29">
        <v>4</v>
      </c>
      <c r="E26" s="56" t="s">
        <v>396</v>
      </c>
      <c r="F26" s="56" t="s">
        <v>397</v>
      </c>
      <c r="G26" s="30" t="s">
        <v>398</v>
      </c>
      <c r="H26" s="26"/>
      <c r="I26" s="72"/>
      <c r="J26" s="72"/>
      <c r="K26" s="72"/>
      <c r="L26" s="63">
        <f>4*94%</f>
        <v>3.76</v>
      </c>
      <c r="M26" s="42" t="s">
        <v>399</v>
      </c>
      <c r="N26" s="64">
        <f>4*91.67%</f>
        <v>3.6668</v>
      </c>
      <c r="O26" s="42" t="s">
        <v>400</v>
      </c>
      <c r="P26" s="63">
        <f>4*80.91%</f>
        <v>3.2364</v>
      </c>
      <c r="Q26" s="42" t="s">
        <v>401</v>
      </c>
      <c r="R26" s="63">
        <f>4*97%</f>
        <v>3.88</v>
      </c>
      <c r="S26" s="42" t="s">
        <v>402</v>
      </c>
      <c r="T26" s="63">
        <f>4*100%</f>
        <v>4</v>
      </c>
      <c r="U26" s="42" t="s">
        <v>403</v>
      </c>
      <c r="V26" s="63">
        <f>4*70%</f>
        <v>2.8</v>
      </c>
      <c r="W26" s="42" t="s">
        <v>404</v>
      </c>
      <c r="X26" s="66">
        <f>4*82%</f>
        <v>3.28</v>
      </c>
      <c r="Y26" s="83" t="s">
        <v>405</v>
      </c>
      <c r="Z26" s="63">
        <f>87.67%*4</f>
        <v>3.5068</v>
      </c>
      <c r="AA26" s="42" t="s">
        <v>406</v>
      </c>
      <c r="AB26" s="63">
        <f>94.67%*4</f>
        <v>3.7868</v>
      </c>
      <c r="AC26" s="42" t="s">
        <v>407</v>
      </c>
      <c r="AD26" s="63">
        <f>90.67%*4</f>
        <v>3.6268</v>
      </c>
      <c r="AE26" s="42" t="s">
        <v>408</v>
      </c>
    </row>
    <row r="27" ht="57" customHeight="1" spans="1:31">
      <c r="A27" s="53"/>
      <c r="B27" s="29"/>
      <c r="C27" s="29" t="s">
        <v>166</v>
      </c>
      <c r="D27" s="29">
        <v>6</v>
      </c>
      <c r="E27" s="56" t="s">
        <v>409</v>
      </c>
      <c r="F27" s="56" t="s">
        <v>410</v>
      </c>
      <c r="G27" s="30" t="s">
        <v>411</v>
      </c>
      <c r="H27" s="26"/>
      <c r="I27" s="42"/>
      <c r="J27" s="42"/>
      <c r="K27" s="42"/>
      <c r="L27" s="63">
        <f>6*71.67%</f>
        <v>4.3002</v>
      </c>
      <c r="M27" s="42" t="s">
        <v>412</v>
      </c>
      <c r="N27" s="64">
        <f>6*77.22%</f>
        <v>4.6332</v>
      </c>
      <c r="O27" s="42" t="s">
        <v>413</v>
      </c>
      <c r="P27" s="63">
        <f>6*64%</f>
        <v>3.84</v>
      </c>
      <c r="Q27" s="42" t="s">
        <v>414</v>
      </c>
      <c r="R27" s="63">
        <f>6*64%</f>
        <v>3.84</v>
      </c>
      <c r="S27" s="42" t="s">
        <v>415</v>
      </c>
      <c r="T27" s="63">
        <f>6*71.5%</f>
        <v>4.29</v>
      </c>
      <c r="U27" s="42" t="s">
        <v>416</v>
      </c>
      <c r="V27" s="63">
        <f>6*70%</f>
        <v>4.2</v>
      </c>
      <c r="W27" s="42" t="s">
        <v>417</v>
      </c>
      <c r="X27" s="66">
        <f>6*73%</f>
        <v>4.38</v>
      </c>
      <c r="Y27" s="83" t="s">
        <v>418</v>
      </c>
      <c r="Z27" s="63">
        <f>84.6%*6</f>
        <v>5.076</v>
      </c>
      <c r="AA27" s="42" t="s">
        <v>419</v>
      </c>
      <c r="AB27" s="63">
        <f>70.35%*6</f>
        <v>4.221</v>
      </c>
      <c r="AC27" s="42" t="s">
        <v>420</v>
      </c>
      <c r="AD27" s="63">
        <f>69.15%*6</f>
        <v>4.149</v>
      </c>
      <c r="AE27" s="42" t="s">
        <v>421</v>
      </c>
    </row>
    <row r="28" s="11" customFormat="1" ht="28.95" customHeight="1" spans="1:31">
      <c r="A28" s="19" t="s">
        <v>171</v>
      </c>
      <c r="B28" s="19"/>
      <c r="C28" s="19"/>
      <c r="D28" s="19">
        <f>SUM(D4:D27)</f>
        <v>68.5</v>
      </c>
      <c r="E28" s="19"/>
      <c r="F28" s="19"/>
      <c r="G28" s="19"/>
      <c r="H28" s="57">
        <f>SUM(H4:H27)</f>
        <v>30.794558</v>
      </c>
      <c r="I28" s="72"/>
      <c r="J28" s="72"/>
      <c r="K28" s="72"/>
      <c r="L28" s="63">
        <f>SUM(L4:L27)</f>
        <v>57.2696</v>
      </c>
      <c r="M28" s="72"/>
      <c r="N28" s="64">
        <f>SUM(N4:N27)</f>
        <v>47.495</v>
      </c>
      <c r="O28" s="72"/>
      <c r="P28" s="63">
        <f>SUM(P4:P27)</f>
        <v>47.7402</v>
      </c>
      <c r="Q28" s="72"/>
      <c r="R28" s="63">
        <f>SUM(R4:R27)</f>
        <v>54.548</v>
      </c>
      <c r="S28" s="72"/>
      <c r="T28" s="63">
        <f>SUM(T4:T27)</f>
        <v>55.822</v>
      </c>
      <c r="U28" s="72"/>
      <c r="V28" s="63">
        <f>SUM(V4:V27)</f>
        <v>51.4784</v>
      </c>
      <c r="W28" s="72"/>
      <c r="X28" s="66">
        <f>SUM(X4:X27)</f>
        <v>51.973</v>
      </c>
      <c r="Y28" s="89"/>
      <c r="Z28" s="63">
        <f>SUM(Z4:Z27)</f>
        <v>56.6508</v>
      </c>
      <c r="AA28" s="72"/>
      <c r="AB28" s="63">
        <f>SUM(AB4:AB27)</f>
        <v>58.1345727272727</v>
      </c>
      <c r="AC28" s="72"/>
      <c r="AD28" s="63">
        <f>SUM(AD4:AD27)</f>
        <v>53.3547622641509</v>
      </c>
      <c r="AE28" s="72"/>
    </row>
    <row r="29" spans="8:8">
      <c r="H29" s="58"/>
    </row>
  </sheetData>
  <mergeCells count="25">
    <mergeCell ref="A1:B1"/>
    <mergeCell ref="A2:I2"/>
    <mergeCell ref="J2:K2"/>
    <mergeCell ref="L2:M2"/>
    <mergeCell ref="N2:O2"/>
    <mergeCell ref="P2:Q2"/>
    <mergeCell ref="R2:S2"/>
    <mergeCell ref="T2:U2"/>
    <mergeCell ref="V2:W2"/>
    <mergeCell ref="X2:Y2"/>
    <mergeCell ref="Z2:AA2"/>
    <mergeCell ref="AB2:AC2"/>
    <mergeCell ref="AD2:AE2"/>
    <mergeCell ref="A28:C28"/>
    <mergeCell ref="A4:A12"/>
    <mergeCell ref="A13:A19"/>
    <mergeCell ref="A20:A23"/>
    <mergeCell ref="A24:A27"/>
    <mergeCell ref="B4:B8"/>
    <mergeCell ref="B9:B12"/>
    <mergeCell ref="B13:B15"/>
    <mergeCell ref="B16:B18"/>
    <mergeCell ref="B20:B22"/>
    <mergeCell ref="B24:B25"/>
    <mergeCell ref="B26:B27"/>
  </mergeCells>
  <printOptions horizontalCentered="1"/>
  <pageMargins left="0.708661417322835" right="0.708661417322835" top="0.748031496062992" bottom="0.748031496062992" header="0.31496062992126" footer="0.31496062992126"/>
  <pageSetup paperSize="9" scale="27" fitToHeight="0" orientation="landscape"/>
  <headerFooter>
    <oddFooter>&amp;C&amp;"仿宋,常规"&amp;10第 &amp;P 页，共 &amp;N 页</oddFooter>
  </headerFooter>
  <ignoredErrors>
    <ignoredError sqref="H19 H4:H12 H28 D28"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9"/>
  <sheetViews>
    <sheetView view="pageBreakPreview" zoomScale="80" zoomScaleNormal="90" workbookViewId="0">
      <pane xSplit="2" ySplit="3" topLeftCell="J12" activePane="bottomRight" state="frozen"/>
      <selection/>
      <selection pane="topRight"/>
      <selection pane="bottomLeft"/>
      <selection pane="bottomRight" activeCell="AG16" sqref="AG16"/>
    </sheetView>
  </sheetViews>
  <sheetFormatPr defaultColWidth="9" defaultRowHeight="12"/>
  <cols>
    <col min="1" max="1" width="9" style="12" customWidth="1"/>
    <col min="2" max="2" width="10.4416666666667" style="13" customWidth="1"/>
    <col min="3" max="3" width="16.775" style="13" customWidth="1"/>
    <col min="4" max="4" width="5.44166666666667" style="13" customWidth="1"/>
    <col min="5" max="5" width="35.1083333333333" style="12" customWidth="1"/>
    <col min="6" max="6" width="62.775" style="12" customWidth="1"/>
    <col min="7" max="7" width="61.775" style="12" customWidth="1"/>
    <col min="8" max="8" width="8.33333333333333" style="14" customWidth="1"/>
    <col min="9" max="9" width="29.4416666666667" style="15" customWidth="1"/>
    <col min="10" max="10" width="7.44166666666667" style="15" customWidth="1"/>
    <col min="11" max="11" width="19.8833333333333" style="15" customWidth="1"/>
    <col min="12" max="12" width="9" style="12"/>
    <col min="13" max="13" width="22.8833333333333" style="12" customWidth="1"/>
    <col min="14" max="14" width="8.33333333333333" style="12" customWidth="1"/>
    <col min="15" max="15" width="26.1083333333333" style="12" customWidth="1"/>
    <col min="16" max="16" width="9" style="12"/>
    <col min="17" max="17" width="14.3333333333333" style="12" customWidth="1"/>
    <col min="18" max="18" width="9" style="12"/>
    <col min="19" max="19" width="16.3333333333333" style="12" customWidth="1"/>
    <col min="20" max="16384" width="9" style="12"/>
  </cols>
  <sheetData>
    <row r="1" ht="25.65" customHeight="1" spans="1:8">
      <c r="A1" s="16" t="s">
        <v>172</v>
      </c>
      <c r="B1" s="16"/>
      <c r="H1" s="17"/>
    </row>
    <row r="2" ht="34.65" customHeight="1" spans="1:31">
      <c r="A2" s="18" t="s">
        <v>173</v>
      </c>
      <c r="B2" s="18"/>
      <c r="C2" s="18"/>
      <c r="D2" s="18"/>
      <c r="E2" s="18"/>
      <c r="F2" s="18"/>
      <c r="G2" s="18"/>
      <c r="H2" s="18"/>
      <c r="I2" s="18"/>
      <c r="J2" s="59" t="s">
        <v>174</v>
      </c>
      <c r="K2" s="59"/>
      <c r="L2" s="59" t="s">
        <v>175</v>
      </c>
      <c r="M2" s="59"/>
      <c r="N2" s="59" t="s">
        <v>176</v>
      </c>
      <c r="O2" s="59"/>
      <c r="P2" s="59" t="s">
        <v>177</v>
      </c>
      <c r="Q2" s="59"/>
      <c r="R2" s="59" t="s">
        <v>178</v>
      </c>
      <c r="S2" s="59"/>
      <c r="T2" s="59" t="s">
        <v>179</v>
      </c>
      <c r="U2" s="59"/>
      <c r="V2" s="59" t="s">
        <v>180</v>
      </c>
      <c r="W2" s="59"/>
      <c r="X2" s="59" t="s">
        <v>181</v>
      </c>
      <c r="Y2" s="59"/>
      <c r="Z2" s="59" t="s">
        <v>182</v>
      </c>
      <c r="AA2" s="59"/>
      <c r="AB2" s="59" t="s">
        <v>183</v>
      </c>
      <c r="AC2" s="59"/>
      <c r="AD2" s="59" t="s">
        <v>184</v>
      </c>
      <c r="AE2" s="59"/>
    </row>
    <row r="3" ht="41.25" customHeight="1" spans="1:31">
      <c r="A3" s="19" t="s">
        <v>2</v>
      </c>
      <c r="B3" s="19" t="s">
        <v>3</v>
      </c>
      <c r="C3" s="19" t="s">
        <v>4</v>
      </c>
      <c r="D3" s="19" t="s">
        <v>5</v>
      </c>
      <c r="E3" s="19" t="s">
        <v>6</v>
      </c>
      <c r="F3" s="19" t="s">
        <v>7</v>
      </c>
      <c r="G3" s="19" t="s">
        <v>8</v>
      </c>
      <c r="H3" s="20" t="s">
        <v>9</v>
      </c>
      <c r="I3" s="20" t="s">
        <v>10</v>
      </c>
      <c r="J3" s="20" t="s">
        <v>9</v>
      </c>
      <c r="K3" s="20" t="s">
        <v>10</v>
      </c>
      <c r="L3" s="60" t="s">
        <v>9</v>
      </c>
      <c r="M3" s="20" t="s">
        <v>10</v>
      </c>
      <c r="N3" s="61" t="s">
        <v>9</v>
      </c>
      <c r="O3" s="20" t="s">
        <v>10</v>
      </c>
      <c r="P3" s="60" t="s">
        <v>9</v>
      </c>
      <c r="Q3" s="20" t="s">
        <v>10</v>
      </c>
      <c r="R3" s="60" t="s">
        <v>9</v>
      </c>
      <c r="S3" s="20" t="s">
        <v>10</v>
      </c>
      <c r="T3" s="60" t="s">
        <v>9</v>
      </c>
      <c r="U3" s="20" t="s">
        <v>10</v>
      </c>
      <c r="V3" s="60" t="s">
        <v>9</v>
      </c>
      <c r="W3" s="20" t="s">
        <v>10</v>
      </c>
      <c r="X3" s="73" t="s">
        <v>9</v>
      </c>
      <c r="Y3" s="78" t="s">
        <v>10</v>
      </c>
      <c r="Z3" s="60" t="s">
        <v>9</v>
      </c>
      <c r="AA3" s="20" t="s">
        <v>10</v>
      </c>
      <c r="AB3" s="60" t="s">
        <v>9</v>
      </c>
      <c r="AC3" s="20" t="s">
        <v>10</v>
      </c>
      <c r="AD3" s="60" t="s">
        <v>9</v>
      </c>
      <c r="AE3" s="20" t="s">
        <v>10</v>
      </c>
    </row>
    <row r="4" s="10" customFormat="1" ht="76.5" customHeight="1" spans="1:31">
      <c r="A4" s="21" t="s">
        <v>186</v>
      </c>
      <c r="B4" s="22" t="s">
        <v>187</v>
      </c>
      <c r="C4" s="23" t="s">
        <v>36</v>
      </c>
      <c r="D4" s="23">
        <v>2</v>
      </c>
      <c r="E4" s="24" t="s">
        <v>37</v>
      </c>
      <c r="F4" s="24" t="s">
        <v>38</v>
      </c>
      <c r="G4" s="25" t="s">
        <v>39</v>
      </c>
      <c r="H4" s="26">
        <f>((L4+N4+P4+R4+T4+V4+X4+Z4+AB4+AD4)/10)*0.7+J4*0.3</f>
        <v>2</v>
      </c>
      <c r="I4" s="41"/>
      <c r="J4" s="62">
        <v>2</v>
      </c>
      <c r="K4" s="43"/>
      <c r="L4" s="63">
        <v>2</v>
      </c>
      <c r="M4" s="41"/>
      <c r="N4" s="64">
        <v>2</v>
      </c>
      <c r="O4" s="41"/>
      <c r="P4" s="63">
        <v>2</v>
      </c>
      <c r="Q4" s="41"/>
      <c r="R4" s="63">
        <v>2</v>
      </c>
      <c r="S4" s="41"/>
      <c r="T4" s="63">
        <v>2</v>
      </c>
      <c r="U4" s="41"/>
      <c r="V4" s="63">
        <v>2</v>
      </c>
      <c r="W4" s="41"/>
      <c r="X4" s="66">
        <v>2</v>
      </c>
      <c r="Y4" s="79"/>
      <c r="Z4" s="80">
        <v>2</v>
      </c>
      <c r="AA4" s="29"/>
      <c r="AB4" s="63">
        <v>2</v>
      </c>
      <c r="AC4" s="41"/>
      <c r="AD4" s="63">
        <v>2</v>
      </c>
      <c r="AE4" s="41"/>
    </row>
    <row r="5" s="10" customFormat="1" ht="67.5" customHeight="1" spans="1:31">
      <c r="A5" s="27"/>
      <c r="B5" s="28"/>
      <c r="C5" s="29" t="s">
        <v>42</v>
      </c>
      <c r="D5" s="29">
        <v>1</v>
      </c>
      <c r="E5" s="30" t="s">
        <v>43</v>
      </c>
      <c r="F5" s="30" t="s">
        <v>44</v>
      </c>
      <c r="G5" s="30" t="s">
        <v>45</v>
      </c>
      <c r="H5" s="26">
        <f t="shared" ref="H5:H12" si="0">((L5+N5+P5+R5+T5+V5+X5+Z5+AB5+AD5)/10)*0.7+J5*0.3</f>
        <v>1</v>
      </c>
      <c r="I5" s="41"/>
      <c r="J5" s="62">
        <v>1</v>
      </c>
      <c r="K5" s="43"/>
      <c r="L5" s="63">
        <v>1</v>
      </c>
      <c r="M5" s="41"/>
      <c r="N5" s="64">
        <v>1</v>
      </c>
      <c r="O5" s="41"/>
      <c r="P5" s="63">
        <v>1</v>
      </c>
      <c r="Q5" s="41"/>
      <c r="R5" s="63">
        <v>1</v>
      </c>
      <c r="S5" s="41"/>
      <c r="T5" s="63">
        <v>1</v>
      </c>
      <c r="U5" s="41"/>
      <c r="V5" s="63">
        <v>1</v>
      </c>
      <c r="W5" s="41"/>
      <c r="X5" s="66">
        <v>1</v>
      </c>
      <c r="Y5" s="79"/>
      <c r="Z5" s="80">
        <v>1</v>
      </c>
      <c r="AA5" s="29"/>
      <c r="AB5" s="63">
        <v>1</v>
      </c>
      <c r="AC5" s="41"/>
      <c r="AD5" s="63">
        <v>1</v>
      </c>
      <c r="AE5" s="41"/>
    </row>
    <row r="6" s="10" customFormat="1" ht="80.25" customHeight="1" spans="1:31">
      <c r="A6" s="27"/>
      <c r="B6" s="28"/>
      <c r="C6" s="31" t="s">
        <v>46</v>
      </c>
      <c r="D6" s="31">
        <v>2</v>
      </c>
      <c r="E6" s="32" t="s">
        <v>47</v>
      </c>
      <c r="F6" s="32" t="s">
        <v>48</v>
      </c>
      <c r="G6" s="32" t="s">
        <v>49</v>
      </c>
      <c r="H6" s="26">
        <f t="shared" si="0"/>
        <v>1.694458</v>
      </c>
      <c r="I6" s="41"/>
      <c r="J6" s="62">
        <f>76.29%*2</f>
        <v>1.5258</v>
      </c>
      <c r="K6" s="44" t="s">
        <v>188</v>
      </c>
      <c r="L6" s="63">
        <f>94.5%*2</f>
        <v>1.89</v>
      </c>
      <c r="M6" s="44" t="s">
        <v>189</v>
      </c>
      <c r="N6" s="64">
        <f>2*0.65</f>
        <v>1.3</v>
      </c>
      <c r="O6" s="44" t="s">
        <v>190</v>
      </c>
      <c r="P6" s="63">
        <v>2</v>
      </c>
      <c r="Q6" s="44" t="s">
        <v>191</v>
      </c>
      <c r="R6" s="63">
        <v>2</v>
      </c>
      <c r="S6" s="44" t="s">
        <v>191</v>
      </c>
      <c r="T6" s="64">
        <f>92.9%*2</f>
        <v>1.858</v>
      </c>
      <c r="U6" s="44" t="s">
        <v>192</v>
      </c>
      <c r="V6" s="63">
        <f>89.12%*2</f>
        <v>1.7824</v>
      </c>
      <c r="W6" s="44" t="s">
        <v>193</v>
      </c>
      <c r="X6" s="66">
        <v>1.38</v>
      </c>
      <c r="Y6" s="81" t="s">
        <v>194</v>
      </c>
      <c r="Z6" s="80">
        <f>2*81.85%</f>
        <v>1.637</v>
      </c>
      <c r="AA6" s="82" t="s">
        <v>195</v>
      </c>
      <c r="AB6" s="63">
        <f>0.91*2</f>
        <v>1.82</v>
      </c>
      <c r="AC6" s="44" t="s">
        <v>196</v>
      </c>
      <c r="AD6" s="63">
        <v>2</v>
      </c>
      <c r="AE6" s="44" t="s">
        <v>197</v>
      </c>
    </row>
    <row r="7" s="10" customFormat="1" ht="92.25" customHeight="1" spans="1:31">
      <c r="A7" s="27"/>
      <c r="B7" s="28"/>
      <c r="C7" s="33" t="s">
        <v>51</v>
      </c>
      <c r="D7" s="33">
        <v>3</v>
      </c>
      <c r="E7" s="34" t="s">
        <v>52</v>
      </c>
      <c r="F7" s="34" t="s">
        <v>53</v>
      </c>
      <c r="G7" s="34" t="s">
        <v>54</v>
      </c>
      <c r="H7" s="26">
        <f t="shared" si="0"/>
        <v>1.315</v>
      </c>
      <c r="I7" s="42" t="s">
        <v>198</v>
      </c>
      <c r="J7" s="62">
        <v>1</v>
      </c>
      <c r="K7" s="44" t="s">
        <v>199</v>
      </c>
      <c r="L7" s="63">
        <v>3</v>
      </c>
      <c r="M7" s="42"/>
      <c r="N7" s="64">
        <v>1</v>
      </c>
      <c r="O7" s="42" t="s">
        <v>200</v>
      </c>
      <c r="P7" s="64">
        <v>1</v>
      </c>
      <c r="Q7" s="42" t="s">
        <v>201</v>
      </c>
      <c r="R7" s="64">
        <v>1</v>
      </c>
      <c r="S7" s="42" t="s">
        <v>202</v>
      </c>
      <c r="T7" s="64">
        <v>1.5</v>
      </c>
      <c r="U7" s="42" t="s">
        <v>203</v>
      </c>
      <c r="V7" s="64">
        <v>1</v>
      </c>
      <c r="W7" s="42" t="s">
        <v>204</v>
      </c>
      <c r="X7" s="66">
        <v>1</v>
      </c>
      <c r="Y7" s="83" t="s">
        <v>201</v>
      </c>
      <c r="Z7" s="84">
        <v>1</v>
      </c>
      <c r="AA7" s="30" t="s">
        <v>205</v>
      </c>
      <c r="AB7" s="63">
        <v>3</v>
      </c>
      <c r="AC7" s="42"/>
      <c r="AD7" s="85">
        <v>1</v>
      </c>
      <c r="AE7" s="42" t="s">
        <v>205</v>
      </c>
    </row>
    <row r="8" ht="100.5" customHeight="1" spans="1:31">
      <c r="A8" s="27"/>
      <c r="B8" s="35"/>
      <c r="C8" s="29" t="s">
        <v>56</v>
      </c>
      <c r="D8" s="29">
        <v>2</v>
      </c>
      <c r="E8" s="30" t="s">
        <v>206</v>
      </c>
      <c r="F8" s="30" t="s">
        <v>58</v>
      </c>
      <c r="G8" s="30" t="s">
        <v>59</v>
      </c>
      <c r="H8" s="26">
        <f t="shared" si="0"/>
        <v>1.755</v>
      </c>
      <c r="I8" s="42" t="s">
        <v>207</v>
      </c>
      <c r="J8" s="62">
        <v>2</v>
      </c>
      <c r="K8" s="44"/>
      <c r="L8" s="63">
        <v>2</v>
      </c>
      <c r="M8" s="42"/>
      <c r="N8" s="64">
        <v>2</v>
      </c>
      <c r="O8" s="42"/>
      <c r="P8" s="64">
        <v>1.5</v>
      </c>
      <c r="Q8" s="42" t="s">
        <v>208</v>
      </c>
      <c r="R8" s="64">
        <v>1.5</v>
      </c>
      <c r="S8" s="42" t="s">
        <v>209</v>
      </c>
      <c r="T8" s="64">
        <v>1</v>
      </c>
      <c r="U8" s="42" t="s">
        <v>210</v>
      </c>
      <c r="V8" s="64">
        <v>1.5</v>
      </c>
      <c r="W8" s="42" t="s">
        <v>208</v>
      </c>
      <c r="X8" s="67">
        <v>2</v>
      </c>
      <c r="Y8" s="30"/>
      <c r="Z8" s="63">
        <v>1.5</v>
      </c>
      <c r="AA8" s="42" t="s">
        <v>211</v>
      </c>
      <c r="AB8" s="63">
        <v>2</v>
      </c>
      <c r="AC8" s="42"/>
      <c r="AD8" s="63">
        <v>1.5</v>
      </c>
      <c r="AE8" s="42" t="s">
        <v>212</v>
      </c>
    </row>
    <row r="9" s="10" customFormat="1" ht="63" customHeight="1" spans="1:31">
      <c r="A9" s="27"/>
      <c r="B9" s="36" t="s">
        <v>213</v>
      </c>
      <c r="C9" s="29" t="s">
        <v>61</v>
      </c>
      <c r="D9" s="29">
        <v>3</v>
      </c>
      <c r="E9" s="30" t="s">
        <v>62</v>
      </c>
      <c r="F9" s="30" t="s">
        <v>63</v>
      </c>
      <c r="G9" s="30" t="s">
        <v>64</v>
      </c>
      <c r="H9" s="26">
        <f t="shared" si="0"/>
        <v>3</v>
      </c>
      <c r="I9" s="42"/>
      <c r="J9" s="65">
        <v>3</v>
      </c>
      <c r="K9" s="43"/>
      <c r="L9" s="66">
        <v>3</v>
      </c>
      <c r="M9" s="42"/>
      <c r="N9" s="67">
        <v>3</v>
      </c>
      <c r="O9" s="42"/>
      <c r="P9" s="66">
        <v>3</v>
      </c>
      <c r="Q9" s="42"/>
      <c r="R9" s="66">
        <v>3</v>
      </c>
      <c r="S9" s="42"/>
      <c r="T9" s="66">
        <v>3</v>
      </c>
      <c r="U9" s="42"/>
      <c r="V9" s="66">
        <v>3</v>
      </c>
      <c r="W9" s="42"/>
      <c r="X9" s="66">
        <v>3</v>
      </c>
      <c r="Y9" s="83"/>
      <c r="Z9" s="86">
        <v>3</v>
      </c>
      <c r="AA9" s="42"/>
      <c r="AB9" s="66">
        <v>3</v>
      </c>
      <c r="AC9" s="42"/>
      <c r="AD9" s="66">
        <v>3</v>
      </c>
      <c r="AE9" s="87"/>
    </row>
    <row r="10" s="10" customFormat="1" ht="111.75" customHeight="1" spans="1:31">
      <c r="A10" s="27"/>
      <c r="B10" s="36"/>
      <c r="C10" s="37" t="s">
        <v>66</v>
      </c>
      <c r="D10" s="37">
        <v>2</v>
      </c>
      <c r="E10" s="38" t="s">
        <v>67</v>
      </c>
      <c r="F10" s="38" t="s">
        <v>68</v>
      </c>
      <c r="G10" s="30" t="s">
        <v>69</v>
      </c>
      <c r="H10" s="26">
        <f t="shared" si="0"/>
        <v>2</v>
      </c>
      <c r="I10" s="41"/>
      <c r="J10" s="62">
        <v>2</v>
      </c>
      <c r="K10" s="43"/>
      <c r="L10" s="63">
        <v>2</v>
      </c>
      <c r="M10" s="41"/>
      <c r="N10" s="64">
        <v>2</v>
      </c>
      <c r="O10" s="41"/>
      <c r="P10" s="63">
        <v>2</v>
      </c>
      <c r="Q10" s="41"/>
      <c r="R10" s="63">
        <v>2</v>
      </c>
      <c r="S10" s="41"/>
      <c r="T10" s="63">
        <v>2</v>
      </c>
      <c r="U10" s="41"/>
      <c r="V10" s="63">
        <v>2</v>
      </c>
      <c r="W10" s="41"/>
      <c r="X10" s="66">
        <v>2</v>
      </c>
      <c r="Y10" s="79"/>
      <c r="Z10" s="63">
        <v>2</v>
      </c>
      <c r="AA10" s="41"/>
      <c r="AB10" s="63">
        <v>2</v>
      </c>
      <c r="AC10" s="41"/>
      <c r="AD10" s="80">
        <v>2</v>
      </c>
      <c r="AE10" s="88"/>
    </row>
    <row r="11" s="10" customFormat="1" ht="62.25" customHeight="1" spans="1:31">
      <c r="A11" s="27"/>
      <c r="B11" s="36"/>
      <c r="C11" s="29" t="s">
        <v>71</v>
      </c>
      <c r="D11" s="29">
        <v>1</v>
      </c>
      <c r="E11" s="30" t="s">
        <v>72</v>
      </c>
      <c r="F11" s="30" t="s">
        <v>73</v>
      </c>
      <c r="G11" s="30" t="s">
        <v>214</v>
      </c>
      <c r="H11" s="26">
        <f t="shared" si="0"/>
        <v>1</v>
      </c>
      <c r="I11" s="41"/>
      <c r="J11" s="62">
        <v>1</v>
      </c>
      <c r="K11" s="43"/>
      <c r="L11" s="63">
        <v>1</v>
      </c>
      <c r="M11" s="41"/>
      <c r="N11" s="64">
        <v>1</v>
      </c>
      <c r="O11" s="41"/>
      <c r="P11" s="63">
        <v>1</v>
      </c>
      <c r="Q11" s="41"/>
      <c r="R11" s="63">
        <v>1</v>
      </c>
      <c r="S11" s="41"/>
      <c r="T11" s="63">
        <v>1</v>
      </c>
      <c r="U11" s="41"/>
      <c r="V11" s="63">
        <v>1</v>
      </c>
      <c r="W11" s="41"/>
      <c r="X11" s="66">
        <v>1</v>
      </c>
      <c r="Y11" s="79"/>
      <c r="Z11" s="63">
        <v>1</v>
      </c>
      <c r="AA11" s="41"/>
      <c r="AB11" s="63">
        <v>1</v>
      </c>
      <c r="AC11" s="41"/>
      <c r="AD11" s="80">
        <v>1</v>
      </c>
      <c r="AE11" s="88"/>
    </row>
    <row r="12" s="10" customFormat="1" ht="114.75" customHeight="1" spans="1:31">
      <c r="A12" s="39"/>
      <c r="B12" s="36"/>
      <c r="C12" s="29" t="s">
        <v>81</v>
      </c>
      <c r="D12" s="29">
        <v>3</v>
      </c>
      <c r="E12" s="40" t="s">
        <v>215</v>
      </c>
      <c r="F12" s="30" t="s">
        <v>216</v>
      </c>
      <c r="G12" s="30" t="s">
        <v>217</v>
      </c>
      <c r="H12" s="26">
        <f t="shared" si="0"/>
        <v>1.79</v>
      </c>
      <c r="I12" s="42" t="s">
        <v>218</v>
      </c>
      <c r="J12" s="68">
        <v>2</v>
      </c>
      <c r="K12" s="44" t="s">
        <v>219</v>
      </c>
      <c r="L12" s="69">
        <v>0</v>
      </c>
      <c r="M12" s="42" t="s">
        <v>220</v>
      </c>
      <c r="N12" s="70">
        <v>2</v>
      </c>
      <c r="O12" s="42" t="s">
        <v>221</v>
      </c>
      <c r="P12" s="69">
        <v>2</v>
      </c>
      <c r="Q12" s="42" t="s">
        <v>222</v>
      </c>
      <c r="R12" s="69">
        <v>2</v>
      </c>
      <c r="S12" s="42" t="s">
        <v>223</v>
      </c>
      <c r="T12" s="69">
        <v>2</v>
      </c>
      <c r="U12" s="42" t="s">
        <v>224</v>
      </c>
      <c r="V12" s="69">
        <v>1.5</v>
      </c>
      <c r="W12" s="42" t="s">
        <v>225</v>
      </c>
      <c r="X12" s="74">
        <v>1.5</v>
      </c>
      <c r="Y12" s="83" t="s">
        <v>226</v>
      </c>
      <c r="Z12" s="70">
        <v>2</v>
      </c>
      <c r="AA12" s="42" t="s">
        <v>227</v>
      </c>
      <c r="AB12" s="70">
        <v>2</v>
      </c>
      <c r="AC12" s="30" t="s">
        <v>228</v>
      </c>
      <c r="AD12" s="70">
        <v>2</v>
      </c>
      <c r="AE12" s="42" t="s">
        <v>229</v>
      </c>
    </row>
    <row r="13" ht="78" customHeight="1" spans="1:31">
      <c r="A13" s="29" t="s">
        <v>86</v>
      </c>
      <c r="B13" s="29" t="s">
        <v>230</v>
      </c>
      <c r="C13" s="41" t="s">
        <v>231</v>
      </c>
      <c r="D13" s="41">
        <v>3.5</v>
      </c>
      <c r="E13" s="42" t="s">
        <v>232</v>
      </c>
      <c r="F13" s="42" t="s">
        <v>233</v>
      </c>
      <c r="G13" s="42" t="s">
        <v>234</v>
      </c>
      <c r="H13" s="26">
        <f>((L13+N13+P13+R13+T13+V13+X13+Z13+AB13+AD13)/10)</f>
        <v>0.75</v>
      </c>
      <c r="I13" s="42" t="s">
        <v>235</v>
      </c>
      <c r="J13" s="71">
        <v>0</v>
      </c>
      <c r="K13" s="44" t="s">
        <v>236</v>
      </c>
      <c r="L13" s="64">
        <v>1.5</v>
      </c>
      <c r="M13" s="41"/>
      <c r="N13" s="64">
        <v>0</v>
      </c>
      <c r="O13" s="42" t="s">
        <v>237</v>
      </c>
      <c r="P13" s="64">
        <v>0</v>
      </c>
      <c r="Q13" s="42" t="s">
        <v>238</v>
      </c>
      <c r="R13" s="64">
        <v>0</v>
      </c>
      <c r="S13" s="42" t="s">
        <v>239</v>
      </c>
      <c r="T13" s="64">
        <v>1.5</v>
      </c>
      <c r="U13" s="42" t="s">
        <v>240</v>
      </c>
      <c r="V13" s="64">
        <v>1.5</v>
      </c>
      <c r="W13" s="42" t="s">
        <v>241</v>
      </c>
      <c r="X13" s="66">
        <v>0</v>
      </c>
      <c r="Y13" s="83" t="s">
        <v>242</v>
      </c>
      <c r="Z13" s="64">
        <v>1.5</v>
      </c>
      <c r="AA13" s="42"/>
      <c r="AB13" s="64">
        <v>1.5</v>
      </c>
      <c r="AC13" s="41"/>
      <c r="AD13" s="64">
        <v>0</v>
      </c>
      <c r="AE13" s="42" t="s">
        <v>243</v>
      </c>
    </row>
    <row r="14" ht="73.5" customHeight="1" spans="1:31">
      <c r="A14" s="29"/>
      <c r="B14" s="29"/>
      <c r="C14" s="41" t="s">
        <v>244</v>
      </c>
      <c r="D14" s="41">
        <v>2</v>
      </c>
      <c r="E14" s="42" t="s">
        <v>245</v>
      </c>
      <c r="F14" s="42" t="s">
        <v>246</v>
      </c>
      <c r="G14" s="42" t="s">
        <v>247</v>
      </c>
      <c r="H14" s="26">
        <f>((L14+N14+P14+R14+T14+V14+X14+Z14+AB14+AD14)/10)</f>
        <v>1.6</v>
      </c>
      <c r="I14" s="41"/>
      <c r="J14" s="71">
        <v>0</v>
      </c>
      <c r="K14" s="44" t="s">
        <v>249</v>
      </c>
      <c r="L14" s="64">
        <v>2</v>
      </c>
      <c r="M14" s="41"/>
      <c r="N14" s="64">
        <v>0</v>
      </c>
      <c r="O14" s="42" t="s">
        <v>250</v>
      </c>
      <c r="P14" s="64">
        <v>0</v>
      </c>
      <c r="Q14" s="42" t="s">
        <v>251</v>
      </c>
      <c r="R14" s="64">
        <v>2</v>
      </c>
      <c r="S14" s="42"/>
      <c r="T14" s="64">
        <v>2</v>
      </c>
      <c r="U14" s="42" t="s">
        <v>252</v>
      </c>
      <c r="V14" s="64">
        <v>2</v>
      </c>
      <c r="W14" s="42"/>
      <c r="X14" s="66">
        <v>2</v>
      </c>
      <c r="Y14" s="83"/>
      <c r="Z14" s="64">
        <v>2</v>
      </c>
      <c r="AA14" s="41"/>
      <c r="AB14" s="64">
        <v>2</v>
      </c>
      <c r="AC14" s="41" t="s">
        <v>254</v>
      </c>
      <c r="AD14" s="64">
        <v>2</v>
      </c>
      <c r="AE14" s="41"/>
    </row>
    <row r="15" ht="67.5" customHeight="1" spans="1:31">
      <c r="A15" s="29"/>
      <c r="B15" s="29"/>
      <c r="C15" s="41" t="s">
        <v>255</v>
      </c>
      <c r="D15" s="41">
        <v>2</v>
      </c>
      <c r="E15" s="42" t="s">
        <v>256</v>
      </c>
      <c r="F15" s="42" t="s">
        <v>257</v>
      </c>
      <c r="G15" s="42" t="s">
        <v>258</v>
      </c>
      <c r="H15" s="26">
        <f>((L15+N15+P15+R15+T15+V15+X15+Z15+AB15+AD15)/10)</f>
        <v>1.6</v>
      </c>
      <c r="I15" s="41"/>
      <c r="J15" s="71">
        <v>0.5</v>
      </c>
      <c r="K15" s="44" t="s">
        <v>260</v>
      </c>
      <c r="L15" s="64">
        <v>1.5</v>
      </c>
      <c r="M15" s="42" t="s">
        <v>261</v>
      </c>
      <c r="N15" s="64">
        <v>0.5</v>
      </c>
      <c r="O15" s="42" t="s">
        <v>262</v>
      </c>
      <c r="P15" s="64">
        <v>0.5</v>
      </c>
      <c r="Q15" s="42" t="s">
        <v>263</v>
      </c>
      <c r="R15" s="64">
        <v>1.5</v>
      </c>
      <c r="S15" s="42" t="s">
        <v>264</v>
      </c>
      <c r="T15" s="64">
        <v>2</v>
      </c>
      <c r="U15" s="42" t="s">
        <v>265</v>
      </c>
      <c r="V15" s="64">
        <v>2</v>
      </c>
      <c r="W15" s="42" t="s">
        <v>266</v>
      </c>
      <c r="X15" s="66">
        <v>2</v>
      </c>
      <c r="Y15" s="83" t="s">
        <v>267</v>
      </c>
      <c r="Z15" s="64">
        <v>2</v>
      </c>
      <c r="AA15" s="41"/>
      <c r="AB15" s="64">
        <v>2</v>
      </c>
      <c r="AC15" s="41" t="s">
        <v>268</v>
      </c>
      <c r="AD15" s="64">
        <v>2</v>
      </c>
      <c r="AE15" s="41"/>
    </row>
    <row r="16" ht="65.25" customHeight="1" spans="1:31">
      <c r="A16" s="29"/>
      <c r="B16" s="29" t="s">
        <v>269</v>
      </c>
      <c r="C16" s="41" t="s">
        <v>270</v>
      </c>
      <c r="D16" s="41">
        <v>4</v>
      </c>
      <c r="E16" s="42" t="s">
        <v>271</v>
      </c>
      <c r="F16" s="42" t="s">
        <v>272</v>
      </c>
      <c r="G16" s="42" t="s">
        <v>273</v>
      </c>
      <c r="H16" s="26"/>
      <c r="I16" s="41"/>
      <c r="J16" s="62">
        <v>2</v>
      </c>
      <c r="K16" s="43"/>
      <c r="L16" s="63">
        <f>(0.91*0.4+0.64*0.6)*2</f>
        <v>1.496</v>
      </c>
      <c r="M16" s="42" t="s">
        <v>274</v>
      </c>
      <c r="N16" s="64">
        <f>(0.91*0.4+0.73*0.6)*2</f>
        <v>1.604</v>
      </c>
      <c r="O16" s="42" t="s">
        <v>275</v>
      </c>
      <c r="P16" s="63">
        <f>((0.7818*0.4+0.67*0.6)*2)</f>
        <v>1.42944</v>
      </c>
      <c r="Q16" s="42" t="s">
        <v>276</v>
      </c>
      <c r="R16" s="63">
        <f>(0.97*0.4+0.565*0.6)*2</f>
        <v>1.454</v>
      </c>
      <c r="S16" s="42" t="s">
        <v>277</v>
      </c>
      <c r="T16" s="75">
        <f>((1*0.4+0.715*0.6)*2)</f>
        <v>1.658</v>
      </c>
      <c r="U16" s="42" t="s">
        <v>278</v>
      </c>
      <c r="V16" s="63">
        <f>((0.7*0.4+0.655*0.6)*2)</f>
        <v>1.346</v>
      </c>
      <c r="W16" s="42" t="s">
        <v>279</v>
      </c>
      <c r="X16" s="66">
        <f>2+((0.76*0.4+0.685*0.6)*2)-2</f>
        <v>1.43</v>
      </c>
      <c r="Y16" s="83" t="s">
        <v>280</v>
      </c>
      <c r="Z16" s="63">
        <f>2+2*0.4*85%+2*0.6*89.5%-2</f>
        <v>1.754</v>
      </c>
      <c r="AA16" s="42" t="s">
        <v>281</v>
      </c>
      <c r="AB16" s="63">
        <f>2+2*0.4*91%+2*0.6*67%-2</f>
        <v>1.532</v>
      </c>
      <c r="AC16" s="87" t="s">
        <v>282</v>
      </c>
      <c r="AD16" s="80">
        <f>2+2*0.4*91%+2*0.6*71%-2</f>
        <v>1.58</v>
      </c>
      <c r="AE16" s="30" t="s">
        <v>283</v>
      </c>
    </row>
    <row r="17" ht="60" customHeight="1" spans="1:31">
      <c r="A17" s="29"/>
      <c r="B17" s="29"/>
      <c r="C17" s="41" t="s">
        <v>284</v>
      </c>
      <c r="D17" s="41">
        <v>4</v>
      </c>
      <c r="E17" s="42" t="s">
        <v>285</v>
      </c>
      <c r="F17" s="42" t="s">
        <v>286</v>
      </c>
      <c r="G17" s="30" t="s">
        <v>287</v>
      </c>
      <c r="H17" s="26">
        <f>((L17+N17+P17+R17+T17+V17+X17+Z17+AB17+AD17)/10)*0.7+J17*0.3</f>
        <v>3.99490909090909</v>
      </c>
      <c r="I17" s="41"/>
      <c r="J17" s="62">
        <v>4</v>
      </c>
      <c r="K17" s="43"/>
      <c r="L17" s="63">
        <v>4</v>
      </c>
      <c r="M17" s="42" t="s">
        <v>289</v>
      </c>
      <c r="N17" s="64">
        <v>4</v>
      </c>
      <c r="O17" s="42"/>
      <c r="P17" s="64">
        <v>4</v>
      </c>
      <c r="Q17" s="42"/>
      <c r="R17" s="64">
        <v>4</v>
      </c>
      <c r="S17" s="42"/>
      <c r="T17" s="64">
        <v>4</v>
      </c>
      <c r="U17" s="42"/>
      <c r="V17" s="64">
        <v>4</v>
      </c>
      <c r="W17" s="42"/>
      <c r="X17" s="66">
        <f>4*100%</f>
        <v>4</v>
      </c>
      <c r="Y17" s="83"/>
      <c r="Z17" s="63">
        <v>4</v>
      </c>
      <c r="AA17" s="42" t="s">
        <v>290</v>
      </c>
      <c r="AB17" s="63">
        <f>54/55*4</f>
        <v>3.92727272727273</v>
      </c>
      <c r="AC17" s="42" t="s">
        <v>291</v>
      </c>
      <c r="AD17" s="63">
        <v>4</v>
      </c>
      <c r="AE17" s="42" t="s">
        <v>292</v>
      </c>
    </row>
    <row r="18" ht="60" customHeight="1" spans="1:31">
      <c r="A18" s="29"/>
      <c r="B18" s="29"/>
      <c r="C18" s="43" t="s">
        <v>293</v>
      </c>
      <c r="D18" s="43">
        <v>3</v>
      </c>
      <c r="E18" s="44" t="s">
        <v>294</v>
      </c>
      <c r="F18" s="45" t="s">
        <v>295</v>
      </c>
      <c r="G18" s="30" t="s">
        <v>296</v>
      </c>
      <c r="H18" s="26">
        <f>((L18+N18+P18+R18+T18+V18+X18+Z18+AB18+AD18)/10)*0.7+J18*0.3</f>
        <v>3</v>
      </c>
      <c r="I18" s="42" t="s">
        <v>297</v>
      </c>
      <c r="J18" s="62">
        <v>3</v>
      </c>
      <c r="K18" s="43"/>
      <c r="L18" s="63">
        <v>3</v>
      </c>
      <c r="M18" s="42" t="s">
        <v>298</v>
      </c>
      <c r="N18" s="64">
        <v>3</v>
      </c>
      <c r="O18" s="42"/>
      <c r="P18" s="64">
        <v>3</v>
      </c>
      <c r="Q18" s="42" t="s">
        <v>299</v>
      </c>
      <c r="R18" s="64">
        <v>3</v>
      </c>
      <c r="S18" s="42"/>
      <c r="T18" s="64">
        <v>3</v>
      </c>
      <c r="U18" s="30" t="s">
        <v>300</v>
      </c>
      <c r="V18" s="64">
        <v>3</v>
      </c>
      <c r="W18" s="42" t="s">
        <v>301</v>
      </c>
      <c r="X18" s="66">
        <v>3</v>
      </c>
      <c r="Y18" s="83" t="s">
        <v>302</v>
      </c>
      <c r="Z18" s="63">
        <v>3</v>
      </c>
      <c r="AA18" s="42" t="s">
        <v>303</v>
      </c>
      <c r="AB18" s="63">
        <v>3</v>
      </c>
      <c r="AC18" s="42" t="s">
        <v>298</v>
      </c>
      <c r="AD18" s="63">
        <v>3</v>
      </c>
      <c r="AE18" s="42" t="s">
        <v>304</v>
      </c>
    </row>
    <row r="19" ht="72" customHeight="1" spans="1:31">
      <c r="A19" s="29"/>
      <c r="B19" s="29" t="s">
        <v>305</v>
      </c>
      <c r="C19" s="41" t="s">
        <v>306</v>
      </c>
      <c r="D19" s="41">
        <v>3</v>
      </c>
      <c r="E19" s="42" t="s">
        <v>307</v>
      </c>
      <c r="F19" s="42" t="s">
        <v>308</v>
      </c>
      <c r="G19" s="42" t="s">
        <v>309</v>
      </c>
      <c r="H19" s="26"/>
      <c r="I19" s="41"/>
      <c r="J19" s="41"/>
      <c r="K19" s="41"/>
      <c r="L19" s="63">
        <v>3</v>
      </c>
      <c r="M19" s="41"/>
      <c r="N19" s="64">
        <v>0</v>
      </c>
      <c r="O19" s="42" t="s">
        <v>311</v>
      </c>
      <c r="P19" s="64">
        <v>3</v>
      </c>
      <c r="Q19" s="41"/>
      <c r="R19" s="64">
        <v>3</v>
      </c>
      <c r="S19" s="41"/>
      <c r="T19" s="64">
        <v>3</v>
      </c>
      <c r="U19" s="41"/>
      <c r="V19" s="64">
        <v>3</v>
      </c>
      <c r="W19" s="41"/>
      <c r="X19" s="66">
        <v>3</v>
      </c>
      <c r="Y19" s="79"/>
      <c r="Z19" s="63">
        <v>3</v>
      </c>
      <c r="AA19" s="42"/>
      <c r="AB19" s="63">
        <v>3</v>
      </c>
      <c r="AC19" s="41" t="s">
        <v>312</v>
      </c>
      <c r="AD19" s="80">
        <v>3</v>
      </c>
      <c r="AE19" s="30" t="s">
        <v>312</v>
      </c>
    </row>
    <row r="20" ht="68.25" customHeight="1" spans="1:31">
      <c r="A20" s="46" t="s">
        <v>126</v>
      </c>
      <c r="B20" s="29" t="s">
        <v>313</v>
      </c>
      <c r="C20" s="29" t="s">
        <v>314</v>
      </c>
      <c r="D20" s="29">
        <v>3</v>
      </c>
      <c r="E20" s="47" t="s">
        <v>315</v>
      </c>
      <c r="F20" s="48" t="s">
        <v>316</v>
      </c>
      <c r="G20" s="49" t="s">
        <v>317</v>
      </c>
      <c r="H20" s="26"/>
      <c r="I20" s="42"/>
      <c r="J20" s="42"/>
      <c r="K20" s="42"/>
      <c r="L20" s="63">
        <f>(91%*0.4+41.33%*0.6)*3</f>
        <v>1.83594</v>
      </c>
      <c r="M20" s="42" t="s">
        <v>318</v>
      </c>
      <c r="N20" s="64">
        <f>(76%*0.4+56%*0.6)*3</f>
        <v>1.92</v>
      </c>
      <c r="O20" s="42" t="s">
        <v>319</v>
      </c>
      <c r="P20" s="63">
        <f>(65.45%*0.4+38%*0.6)*3</f>
        <v>1.4694</v>
      </c>
      <c r="Q20" s="42" t="s">
        <v>320</v>
      </c>
      <c r="R20" s="63">
        <f>(82%*0.4+21%*0.6)*3</f>
        <v>1.362</v>
      </c>
      <c r="S20" s="42" t="s">
        <v>321</v>
      </c>
      <c r="T20" s="76">
        <f>(100%*0.4+42%*0.6)*3</f>
        <v>1.956</v>
      </c>
      <c r="U20" s="42" t="s">
        <v>322</v>
      </c>
      <c r="V20" s="63">
        <f>(75%*0.4+48.5%*0.6)*3</f>
        <v>1.773</v>
      </c>
      <c r="W20" s="42" t="s">
        <v>323</v>
      </c>
      <c r="X20" s="66">
        <f>(76%*0.4+36.5%*0.6)*3</f>
        <v>1.569</v>
      </c>
      <c r="Y20" s="83" t="s">
        <v>324</v>
      </c>
      <c r="Z20" s="63">
        <f>3*0.4*76%+3*0.6*78.5%</f>
        <v>2.325</v>
      </c>
      <c r="AA20" s="42" t="s">
        <v>325</v>
      </c>
      <c r="AB20" s="63">
        <f>3*0.4*88%+3*0.6*58.75%</f>
        <v>2.1135</v>
      </c>
      <c r="AC20" s="42" t="s">
        <v>326</v>
      </c>
      <c r="AD20" s="63">
        <f>3*0.4*76%+3*0.6*49.5%</f>
        <v>1.803</v>
      </c>
      <c r="AE20" s="42" t="s">
        <v>327</v>
      </c>
    </row>
    <row r="21" ht="68.25" customHeight="1" spans="1:31">
      <c r="A21" s="50"/>
      <c r="B21" s="29"/>
      <c r="C21" s="51" t="s">
        <v>328</v>
      </c>
      <c r="D21" s="51">
        <v>3</v>
      </c>
      <c r="E21" s="47" t="s">
        <v>329</v>
      </c>
      <c r="F21" s="52" t="s">
        <v>330</v>
      </c>
      <c r="G21" s="30" t="s">
        <v>317</v>
      </c>
      <c r="H21" s="26"/>
      <c r="I21" s="42"/>
      <c r="J21" s="42"/>
      <c r="K21" s="42"/>
      <c r="L21" s="63">
        <f>(94%*0.4+68.67%*0.6)*3</f>
        <v>2.36406</v>
      </c>
      <c r="M21" s="42" t="s">
        <v>331</v>
      </c>
      <c r="N21" s="64">
        <f>(88%*0.4+76%*0.6)*3</f>
        <v>2.424</v>
      </c>
      <c r="O21" s="42" t="s">
        <v>332</v>
      </c>
      <c r="P21" s="63">
        <f>(78.18%*0.4+65.5%*0.6)*3</f>
        <v>2.11716</v>
      </c>
      <c r="Q21" s="42" t="s">
        <v>333</v>
      </c>
      <c r="R21" s="63">
        <f>(100%*0.4+67%*0.6)*3</f>
        <v>2.406</v>
      </c>
      <c r="S21" s="42" t="s">
        <v>334</v>
      </c>
      <c r="T21" s="63">
        <f>(100%*0.4+71.5%*0.6)*3</f>
        <v>2.487</v>
      </c>
      <c r="U21" s="42" t="s">
        <v>335</v>
      </c>
      <c r="V21" s="63">
        <f>(58%*0.4+76%*0.6)*3</f>
        <v>2.064</v>
      </c>
      <c r="W21" s="42" t="s">
        <v>336</v>
      </c>
      <c r="X21" s="66">
        <f>(82%*0.4+74.5%*0.6)*3</f>
        <v>2.325</v>
      </c>
      <c r="Y21" s="83" t="s">
        <v>337</v>
      </c>
      <c r="Z21" s="63">
        <f>3*0.4*85%+3*0.6*91%</f>
        <v>2.658</v>
      </c>
      <c r="AA21" s="42" t="s">
        <v>338</v>
      </c>
      <c r="AB21" s="63">
        <f>3*0.4*97%+3*0.6*77.5%</f>
        <v>2.559</v>
      </c>
      <c r="AC21" s="42" t="s">
        <v>339</v>
      </c>
      <c r="AD21" s="63">
        <f>3*0.4*94%+3*0.6*80.5%</f>
        <v>2.577</v>
      </c>
      <c r="AE21" s="42" t="s">
        <v>340</v>
      </c>
    </row>
    <row r="22" ht="68.25" customHeight="1" spans="1:31">
      <c r="A22" s="50"/>
      <c r="B22" s="29"/>
      <c r="C22" s="51" t="s">
        <v>341</v>
      </c>
      <c r="D22" s="51">
        <v>2</v>
      </c>
      <c r="E22" s="47" t="s">
        <v>342</v>
      </c>
      <c r="F22" s="52" t="s">
        <v>330</v>
      </c>
      <c r="G22" s="30" t="s">
        <v>343</v>
      </c>
      <c r="H22" s="26"/>
      <c r="I22" s="42"/>
      <c r="J22" s="42"/>
      <c r="K22" s="42"/>
      <c r="L22" s="63">
        <f>97%*2</f>
        <v>1.94</v>
      </c>
      <c r="M22" s="42" t="s">
        <v>344</v>
      </c>
      <c r="N22" s="64">
        <f>94%*2</f>
        <v>1.88</v>
      </c>
      <c r="O22" s="42" t="s">
        <v>345</v>
      </c>
      <c r="P22" s="63">
        <f>80.91%*2</f>
        <v>1.6182</v>
      </c>
      <c r="Q22" s="42" t="s">
        <v>346</v>
      </c>
      <c r="R22" s="63">
        <f>100%*2</f>
        <v>2</v>
      </c>
      <c r="S22" s="42" t="s">
        <v>347</v>
      </c>
      <c r="T22" s="76">
        <f>100%*2</f>
        <v>2</v>
      </c>
      <c r="U22" s="42" t="s">
        <v>348</v>
      </c>
      <c r="V22" s="63">
        <f>67%*2</f>
        <v>1.34</v>
      </c>
      <c r="W22" s="42" t="s">
        <v>349</v>
      </c>
      <c r="X22" s="66">
        <f>82%*2</f>
        <v>1.64</v>
      </c>
      <c r="Y22" s="83" t="s">
        <v>350</v>
      </c>
      <c r="Z22" s="63">
        <f>85%*2</f>
        <v>1.7</v>
      </c>
      <c r="AA22" s="42" t="s">
        <v>351</v>
      </c>
      <c r="AB22" s="63">
        <f>94%*2</f>
        <v>1.88</v>
      </c>
      <c r="AC22" s="42" t="s">
        <v>352</v>
      </c>
      <c r="AD22" s="63">
        <f>94%*2</f>
        <v>1.88</v>
      </c>
      <c r="AE22" s="42" t="s">
        <v>353</v>
      </c>
    </row>
    <row r="23" ht="90" customHeight="1" spans="1:31">
      <c r="A23" s="53"/>
      <c r="B23" s="29" t="s">
        <v>354</v>
      </c>
      <c r="C23" s="43" t="s">
        <v>355</v>
      </c>
      <c r="D23" s="54">
        <v>5</v>
      </c>
      <c r="E23" s="47" t="s">
        <v>356</v>
      </c>
      <c r="F23" s="25" t="s">
        <v>357</v>
      </c>
      <c r="G23" s="55" t="s">
        <v>358</v>
      </c>
      <c r="H23" s="26"/>
      <c r="I23" s="42"/>
      <c r="J23" s="42"/>
      <c r="K23" s="42"/>
      <c r="L23" s="63">
        <f>2+((94%*0.4+72%*0.6)*1)</f>
        <v>2.808</v>
      </c>
      <c r="M23" s="42" t="s">
        <v>359</v>
      </c>
      <c r="N23" s="64">
        <f>0+((91%*0.4+76%*0.6)*1)</f>
        <v>0.82</v>
      </c>
      <c r="O23" s="42" t="s">
        <v>360</v>
      </c>
      <c r="P23" s="63">
        <f>0+((72.73%*0.4+68.5%*0.6)*1)</f>
        <v>0.70192</v>
      </c>
      <c r="Q23" s="42" t="s">
        <v>361</v>
      </c>
      <c r="R23" s="63">
        <f>2+((97%*0.4+62.5%*0.6)*1)</f>
        <v>2.763</v>
      </c>
      <c r="S23" s="77" t="s">
        <v>362</v>
      </c>
      <c r="T23" s="76">
        <f>0+100%*0.4+69.5%*0.6</f>
        <v>0.817</v>
      </c>
      <c r="U23" s="42" t="s">
        <v>363</v>
      </c>
      <c r="V23" s="63">
        <f>2+49%*0.4+68.5%*0.6</f>
        <v>2.607</v>
      </c>
      <c r="W23" s="42" t="s">
        <v>364</v>
      </c>
      <c r="X23" s="66">
        <f>0+((82%*0.4+73%*0.6)*1)</f>
        <v>0.766</v>
      </c>
      <c r="Y23" s="83" t="s">
        <v>365</v>
      </c>
      <c r="Z23" s="63">
        <f>0.4*0.85+0.6*0.895</f>
        <v>0.877</v>
      </c>
      <c r="AA23" s="42" t="s">
        <v>366</v>
      </c>
      <c r="AB23" s="63">
        <f>0.4*0.91+0.6*0.745</f>
        <v>0.811</v>
      </c>
      <c r="AC23" s="42" t="s">
        <v>367</v>
      </c>
      <c r="AD23" s="63">
        <f>0.4*0.88+0.6*0.76</f>
        <v>0.808</v>
      </c>
      <c r="AE23" s="42" t="s">
        <v>368</v>
      </c>
    </row>
    <row r="24" ht="66.75" customHeight="1" spans="1:31">
      <c r="A24" s="46" t="s">
        <v>126</v>
      </c>
      <c r="B24" s="46" t="s">
        <v>354</v>
      </c>
      <c r="C24" s="43" t="s">
        <v>369</v>
      </c>
      <c r="D24" s="54">
        <v>2</v>
      </c>
      <c r="E24" s="47" t="s">
        <v>370</v>
      </c>
      <c r="F24" s="25" t="s">
        <v>371</v>
      </c>
      <c r="G24" s="55" t="s">
        <v>372</v>
      </c>
      <c r="H24" s="26"/>
      <c r="I24" s="42"/>
      <c r="J24" s="62"/>
      <c r="K24" s="43"/>
      <c r="L24" s="63">
        <f>71.67%*2</f>
        <v>1.4334</v>
      </c>
      <c r="M24" s="42" t="s">
        <v>373</v>
      </c>
      <c r="N24" s="64">
        <f>2*67.5%</f>
        <v>1.35</v>
      </c>
      <c r="O24" s="42" t="s">
        <v>374</v>
      </c>
      <c r="P24" s="63">
        <f>2*55%</f>
        <v>1.1</v>
      </c>
      <c r="Q24" s="42" t="s">
        <v>375</v>
      </c>
      <c r="R24" s="63">
        <f>2*75%</f>
        <v>1.5</v>
      </c>
      <c r="S24" s="42" t="s">
        <v>376</v>
      </c>
      <c r="T24" s="63">
        <f>2*67.5%</f>
        <v>1.35</v>
      </c>
      <c r="U24" s="42" t="s">
        <v>377</v>
      </c>
      <c r="V24" s="63">
        <f>2*60%</f>
        <v>1.2</v>
      </c>
      <c r="W24" s="42" t="s">
        <v>378</v>
      </c>
      <c r="X24" s="66">
        <f>2*72.5%</f>
        <v>1.45</v>
      </c>
      <c r="Y24" s="83" t="s">
        <v>379</v>
      </c>
      <c r="Z24" s="63">
        <f>72.5%*2</f>
        <v>1.45</v>
      </c>
      <c r="AA24" s="42" t="s">
        <v>380</v>
      </c>
      <c r="AB24" s="63">
        <f>82.5%*2</f>
        <v>1.65</v>
      </c>
      <c r="AC24" s="42" t="s">
        <v>381</v>
      </c>
      <c r="AD24" s="63">
        <f>80%*2</f>
        <v>1.6</v>
      </c>
      <c r="AE24" s="42" t="s">
        <v>382</v>
      </c>
    </row>
    <row r="25" ht="73.5" customHeight="1" spans="1:31">
      <c r="A25" s="50"/>
      <c r="B25" s="53"/>
      <c r="C25" s="43" t="s">
        <v>383</v>
      </c>
      <c r="D25" s="54">
        <v>3</v>
      </c>
      <c r="E25" s="47" t="s">
        <v>370</v>
      </c>
      <c r="F25" s="25" t="s">
        <v>384</v>
      </c>
      <c r="G25" s="55" t="s">
        <v>385</v>
      </c>
      <c r="H25" s="26"/>
      <c r="I25" s="42"/>
      <c r="J25" s="42"/>
      <c r="K25" s="42"/>
      <c r="L25" s="63">
        <f>(94%*0.4+73%*0.6)*3</f>
        <v>2.442</v>
      </c>
      <c r="M25" s="42" t="s">
        <v>386</v>
      </c>
      <c r="N25" s="64">
        <f>(88%*0.4+74.5%*0.6)*3</f>
        <v>2.397</v>
      </c>
      <c r="O25" s="42" t="s">
        <v>387</v>
      </c>
      <c r="P25" s="63">
        <f>(83.64%*0.4+68%*0.6)*3</f>
        <v>2.22768</v>
      </c>
      <c r="Q25" s="42" t="s">
        <v>388</v>
      </c>
      <c r="R25" s="63">
        <f>(97%*0.4+65.5%*0.6)*3</f>
        <v>2.343</v>
      </c>
      <c r="S25" s="42" t="s">
        <v>389</v>
      </c>
      <c r="T25" s="63">
        <f>(100%*0.4+67%*0.6)*3</f>
        <v>2.406</v>
      </c>
      <c r="U25" s="42" t="s">
        <v>390</v>
      </c>
      <c r="V25" s="63">
        <f>(55%*0.4+67%*0.6)*3</f>
        <v>1.866</v>
      </c>
      <c r="W25" s="42" t="s">
        <v>391</v>
      </c>
      <c r="X25" s="66">
        <f>(85%*0.4+68.5%*0.6)*3</f>
        <v>2.253</v>
      </c>
      <c r="Y25" s="83" t="s">
        <v>392</v>
      </c>
      <c r="Z25" s="63">
        <f>3*40%*88%+3*60%*89.5%</f>
        <v>2.667</v>
      </c>
      <c r="AA25" s="42" t="s">
        <v>393</v>
      </c>
      <c r="AB25" s="63">
        <f>3*40%*94%+3*60%*67%</f>
        <v>2.334</v>
      </c>
      <c r="AC25" s="42" t="s">
        <v>394</v>
      </c>
      <c r="AD25" s="63">
        <f>3*40%*82%+3*60%*78.5%</f>
        <v>2.397</v>
      </c>
      <c r="AE25" s="42" t="s">
        <v>395</v>
      </c>
    </row>
    <row r="26" ht="57" customHeight="1" spans="1:31">
      <c r="A26" s="50"/>
      <c r="B26" s="29" t="s">
        <v>160</v>
      </c>
      <c r="C26" s="29" t="s">
        <v>161</v>
      </c>
      <c r="D26" s="29">
        <v>4</v>
      </c>
      <c r="E26" s="56" t="s">
        <v>396</v>
      </c>
      <c r="F26" s="56" t="s">
        <v>397</v>
      </c>
      <c r="G26" s="30" t="s">
        <v>398</v>
      </c>
      <c r="H26" s="26"/>
      <c r="I26" s="72"/>
      <c r="J26" s="72"/>
      <c r="K26" s="72"/>
      <c r="L26" s="63">
        <f>4*94%</f>
        <v>3.76</v>
      </c>
      <c r="M26" s="42" t="s">
        <v>399</v>
      </c>
      <c r="N26" s="64">
        <f>4*91.67%</f>
        <v>3.6668</v>
      </c>
      <c r="O26" s="42" t="s">
        <v>400</v>
      </c>
      <c r="P26" s="63">
        <f>4*80.91%</f>
        <v>3.2364</v>
      </c>
      <c r="Q26" s="42" t="s">
        <v>401</v>
      </c>
      <c r="R26" s="63">
        <f>4*97%</f>
        <v>3.88</v>
      </c>
      <c r="S26" s="42" t="s">
        <v>402</v>
      </c>
      <c r="T26" s="63">
        <f>4*100%</f>
        <v>4</v>
      </c>
      <c r="U26" s="42" t="s">
        <v>403</v>
      </c>
      <c r="V26" s="63">
        <f>4*70%</f>
        <v>2.8</v>
      </c>
      <c r="W26" s="42" t="s">
        <v>404</v>
      </c>
      <c r="X26" s="66">
        <f>4*82%</f>
        <v>3.28</v>
      </c>
      <c r="Y26" s="83" t="s">
        <v>405</v>
      </c>
      <c r="Z26" s="63">
        <f>87.67%*4</f>
        <v>3.5068</v>
      </c>
      <c r="AA26" s="42" t="s">
        <v>406</v>
      </c>
      <c r="AB26" s="63">
        <f>94.67%*4</f>
        <v>3.7868</v>
      </c>
      <c r="AC26" s="42" t="s">
        <v>407</v>
      </c>
      <c r="AD26" s="63">
        <f>90.67%*4</f>
        <v>3.6268</v>
      </c>
      <c r="AE26" s="42" t="s">
        <v>408</v>
      </c>
    </row>
    <row r="27" ht="57" customHeight="1" spans="1:31">
      <c r="A27" s="53"/>
      <c r="B27" s="29"/>
      <c r="C27" s="29" t="s">
        <v>166</v>
      </c>
      <c r="D27" s="29">
        <v>6</v>
      </c>
      <c r="E27" s="56" t="s">
        <v>409</v>
      </c>
      <c r="F27" s="56" t="s">
        <v>410</v>
      </c>
      <c r="G27" s="30" t="s">
        <v>411</v>
      </c>
      <c r="H27" s="26"/>
      <c r="I27" s="42"/>
      <c r="J27" s="42"/>
      <c r="K27" s="42"/>
      <c r="L27" s="63">
        <f>6*71.67%</f>
        <v>4.3002</v>
      </c>
      <c r="M27" s="42" t="s">
        <v>412</v>
      </c>
      <c r="N27" s="64">
        <f>6*77.22%</f>
        <v>4.6332</v>
      </c>
      <c r="O27" s="42" t="s">
        <v>413</v>
      </c>
      <c r="P27" s="63">
        <f>6*64%</f>
        <v>3.84</v>
      </c>
      <c r="Q27" s="42" t="s">
        <v>414</v>
      </c>
      <c r="R27" s="63">
        <f>6*64%</f>
        <v>3.84</v>
      </c>
      <c r="S27" s="42" t="s">
        <v>415</v>
      </c>
      <c r="T27" s="63">
        <f>6*71.5%</f>
        <v>4.29</v>
      </c>
      <c r="U27" s="42" t="s">
        <v>416</v>
      </c>
      <c r="V27" s="63">
        <f>6*70%</f>
        <v>4.2</v>
      </c>
      <c r="W27" s="42" t="s">
        <v>417</v>
      </c>
      <c r="X27" s="66">
        <f>6*73%</f>
        <v>4.38</v>
      </c>
      <c r="Y27" s="83" t="s">
        <v>418</v>
      </c>
      <c r="Z27" s="63">
        <f>84.6%*6</f>
        <v>5.076</v>
      </c>
      <c r="AA27" s="42" t="s">
        <v>419</v>
      </c>
      <c r="AB27" s="63">
        <f>70.35%*6</f>
        <v>4.221</v>
      </c>
      <c r="AC27" s="42" t="s">
        <v>420</v>
      </c>
      <c r="AD27" s="63">
        <f>69.15%*6</f>
        <v>4.149</v>
      </c>
      <c r="AE27" s="42" t="s">
        <v>421</v>
      </c>
    </row>
    <row r="28" s="11" customFormat="1" ht="28.95" customHeight="1" spans="1:31">
      <c r="A28" s="19" t="s">
        <v>171</v>
      </c>
      <c r="B28" s="19"/>
      <c r="C28" s="19"/>
      <c r="D28" s="19">
        <f>SUM(D4:D27)</f>
        <v>68.5</v>
      </c>
      <c r="E28" s="19"/>
      <c r="F28" s="19"/>
      <c r="G28" s="19"/>
      <c r="H28" s="57">
        <f>SUM(H4:H27)</f>
        <v>26.4993670909091</v>
      </c>
      <c r="I28" s="72"/>
      <c r="J28" s="72"/>
      <c r="K28" s="72"/>
      <c r="L28" s="63">
        <f>SUM(L4:L27)</f>
        <v>53.2696</v>
      </c>
      <c r="M28" s="72"/>
      <c r="N28" s="64">
        <f>SUM(N4:N27)</f>
        <v>43.495</v>
      </c>
      <c r="O28" s="72"/>
      <c r="P28" s="63">
        <f>SUM(P4:P27)</f>
        <v>43.7402</v>
      </c>
      <c r="Q28" s="72"/>
      <c r="R28" s="63">
        <f>SUM(R4:R27)</f>
        <v>50.548</v>
      </c>
      <c r="S28" s="72"/>
      <c r="T28" s="63">
        <f>SUM(T4:T27)</f>
        <v>51.822</v>
      </c>
      <c r="U28" s="72"/>
      <c r="V28" s="63">
        <f>SUM(V4:V27)</f>
        <v>49.4784</v>
      </c>
      <c r="W28" s="72"/>
      <c r="X28" s="66">
        <f>SUM(X4:X27)</f>
        <v>47.973</v>
      </c>
      <c r="Y28" s="89"/>
      <c r="Z28" s="63">
        <f>SUM(Z4:Z27)</f>
        <v>52.6508</v>
      </c>
      <c r="AA28" s="72"/>
      <c r="AB28" s="63">
        <f>SUM(AB4:AB27)</f>
        <v>54.1345727272727</v>
      </c>
      <c r="AC28" s="72"/>
      <c r="AD28" s="63">
        <f>SUM(AD4:AD27)</f>
        <v>49.9208</v>
      </c>
      <c r="AE28" s="72"/>
    </row>
    <row r="29" spans="8:8">
      <c r="H29" s="58"/>
    </row>
  </sheetData>
  <mergeCells count="25">
    <mergeCell ref="A1:B1"/>
    <mergeCell ref="A2:I2"/>
    <mergeCell ref="J2:K2"/>
    <mergeCell ref="L2:M2"/>
    <mergeCell ref="N2:O2"/>
    <mergeCell ref="P2:Q2"/>
    <mergeCell ref="R2:S2"/>
    <mergeCell ref="T2:U2"/>
    <mergeCell ref="V2:W2"/>
    <mergeCell ref="X2:Y2"/>
    <mergeCell ref="Z2:AA2"/>
    <mergeCell ref="AB2:AC2"/>
    <mergeCell ref="AD2:AE2"/>
    <mergeCell ref="A28:C28"/>
    <mergeCell ref="A4:A12"/>
    <mergeCell ref="A13:A19"/>
    <mergeCell ref="A20:A23"/>
    <mergeCell ref="A24:A27"/>
    <mergeCell ref="B4:B8"/>
    <mergeCell ref="B9:B12"/>
    <mergeCell ref="B13:B15"/>
    <mergeCell ref="B16:B18"/>
    <mergeCell ref="B20:B22"/>
    <mergeCell ref="B24:B25"/>
    <mergeCell ref="B26:B27"/>
  </mergeCells>
  <printOptions horizontalCentered="1"/>
  <pageMargins left="0.708661417322835" right="0.708661417322835" top="0.748031496062992" bottom="0.748031496062992" header="0.31496062992126" footer="0.31496062992126"/>
  <pageSetup paperSize="9" scale="27" fitToHeight="0" orientation="landscape"/>
  <headerFooter>
    <oddFooter>&amp;C&amp;"仿宋,常规"&amp;10第 &amp;P 页，共 &amp;N 页</oddFooter>
  </headerFooter>
  <ignoredErrors>
    <ignoredError sqref="H17 H14:H15"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M18" sqref="M18"/>
    </sheetView>
  </sheetViews>
  <sheetFormatPr defaultColWidth="9" defaultRowHeight="13.5" outlineLevelRow="5" outlineLevelCol="3"/>
  <sheetData>
    <row r="1" ht="14.25" spans="1:4">
      <c r="A1" s="1" t="s">
        <v>422</v>
      </c>
      <c r="B1" s="2" t="s">
        <v>5</v>
      </c>
      <c r="C1" s="2" t="s">
        <v>423</v>
      </c>
      <c r="D1" s="2" t="s">
        <v>424</v>
      </c>
    </row>
    <row r="2" ht="14.25" spans="1:4">
      <c r="A2" s="3" t="s">
        <v>425</v>
      </c>
      <c r="B2" s="4">
        <v>15</v>
      </c>
      <c r="C2" s="5">
        <f>SUM(芒市农业农村局新建烤烟房项目!H4:H9)</f>
        <v>14</v>
      </c>
      <c r="D2" s="6">
        <f>C2/B2</f>
        <v>0.933333333333333</v>
      </c>
    </row>
    <row r="3" ht="14.25" spans="1:4">
      <c r="A3" s="3" t="s">
        <v>426</v>
      </c>
      <c r="B3" s="4">
        <v>20</v>
      </c>
      <c r="C3" s="5">
        <f>SUM(芒市农业农村局新建烤烟房项目!H10:H18)</f>
        <v>14</v>
      </c>
      <c r="D3" s="6">
        <f>C3/B3</f>
        <v>0.7</v>
      </c>
    </row>
    <row r="4" ht="14.25" spans="1:4">
      <c r="A4" s="3" t="s">
        <v>427</v>
      </c>
      <c r="B4" s="4">
        <v>35</v>
      </c>
      <c r="C4" s="5">
        <f>SUM(芒市农业农村局新建烤烟房项目!H19:H26)</f>
        <v>32</v>
      </c>
      <c r="D4" s="6">
        <f>C4/B4</f>
        <v>0.914285714285714</v>
      </c>
    </row>
    <row r="5" ht="14.25" spans="1:4">
      <c r="A5" s="3" t="s">
        <v>428</v>
      </c>
      <c r="B5" s="4">
        <v>30</v>
      </c>
      <c r="C5" s="5">
        <f>SUM(芒市农业农村局新建烤烟房项目!H27:H34)</f>
        <v>23.242</v>
      </c>
      <c r="D5" s="6">
        <f>C5/B5</f>
        <v>0.774733333333333</v>
      </c>
    </row>
    <row r="6" ht="14.25" spans="1:4">
      <c r="A6" s="7" t="s">
        <v>429</v>
      </c>
      <c r="B6" s="8">
        <v>100</v>
      </c>
      <c r="C6" s="9">
        <f>SUM(C2:C5)</f>
        <v>83.242</v>
      </c>
      <c r="D6" s="6">
        <f>C6/B6</f>
        <v>0.83242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芒市农业农村局新建烤烟房项目</vt:lpstr>
      <vt:lpstr>滇南中心城市大气污染联防联治专项资金项目-县级评分</vt:lpstr>
      <vt:lpstr>滇南中心城市大气污染联防联治专项资金项目-县级评分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Jiankun Yang</dc:creator>
  <cp:lastModifiedBy>Administrator</cp:lastModifiedBy>
  <dcterms:created xsi:type="dcterms:W3CDTF">2006-09-13T11:21:00Z</dcterms:created>
  <cp:lastPrinted>2022-12-08T07:53:00Z</cp:lastPrinted>
  <dcterms:modified xsi:type="dcterms:W3CDTF">2024-11-19T00:52:05Z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130D2E4AFE8B4571AAFDDEC565BF2E5F_13</vt:lpwstr>
  </property>
</Properties>
</file>